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SZb2QTM68New3pxxP8427O7LtCiV847FMG1WA6pFGxtr5/QdBD9k5s/bDPrMnerrpK01F44vUC+SibkxwH8z3A==" workbookSaltValue="apM5MEdwNshqESkweLaw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9" i="8"/>
  <c r="AU18" i="21"/>
  <c r="AH13" i="16"/>
  <c r="L16" i="2"/>
  <c r="AP13" i="16"/>
  <c r="T18" i="17"/>
  <c r="BG15" i="13"/>
  <c r="BE16" i="13"/>
  <c r="BE15" i="13"/>
  <c r="AX20" i="20"/>
  <c r="S19" i="8" l="1"/>
  <c r="C12" i="14"/>
  <c r="K12" i="14" s="1"/>
  <c r="BG10" i="8"/>
  <c r="B9" i="6"/>
  <c r="H10" i="2"/>
  <c r="BH16" i="11"/>
  <c r="BH10" i="11"/>
  <c r="BW11" i="20"/>
  <c r="AP17" i="20"/>
  <c r="BI15" i="11"/>
  <c r="BL17" i="11"/>
  <c r="BD11" i="13"/>
  <c r="AB13" i="2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<sst xmlns="http://schemas.openxmlformats.org/spreadsheetml/2006/main" count="2102" uniqueCount="918">
  <si>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</si>
  <si>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</si>
  <si>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</si>
  <si>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</si>
  <si>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</si>
  <si>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</si>
  <si>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</si>
  <si>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</si>
  <si>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</si>
  <si>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</si>
  <si>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</si>
  <si>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</si>
  <si>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</si>
  <si>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</si>
  <si>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</si>
  <si>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</si>
  <si>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</si>
  <si>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</si>
  <si>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</si>
  <si>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</si>
  <si>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</si>
  <si>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</si>
  <si>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</si>
  <si>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</si>
  <si>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</si>
  <si>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</si>
  <si>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</si>
  <si>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</si>
  <si>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</si>
  <si>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</si>
  <si>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</si>
  <si>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</si>
  <si>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</si>
  <si>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</si>
  <si>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</si>
  <si>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</si>
  <si>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</si>
  <si>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</si>
  <si>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</si>
  <si>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</si>
  <si>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</si>
  <si>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</si>
  <si>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</si>
  <si>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</si>
  <si>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</si>
  <si>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</si>
  <si>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</si>
  <si>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</si>
  <si>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</si>
  <si>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</si>
  <si>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</si>
  <si>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</si>
  <si>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</si>
  <si>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</si>
  <si>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</si>
  <si>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</si>
  <si>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</si>
  <si>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</si>
  <si>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</si>
  <si>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</si>
  <si>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</si>
  <si>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</si>
  <si>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</si>
  <si>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</si>
  <si>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</si>
  <si>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</si>
  <si>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</si>
  <si>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</si>
  <si>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</si>
  <si>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</si>
  <si>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</si>
  <si>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</si>
  <si>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</si>
  <si>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</si>
  <si>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</si>
  <si>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</si>
  <si>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</si>
  <si>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</si>
  <si>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</si>
  <si>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</si>
  <si>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</si>
  <si>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</si>
  <si>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</si>
  <si>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</si>
  <si>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</si>
  <si>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</si>
  <si>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</si>
  <si>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</si>
  <si>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</si>
  <si>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</si>
  <si>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</si>
  <si>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</si>
  <si>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</si>
  <si>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</si>
  <si>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</si>
  <si>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</si>
  <si>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</si>
  <si>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</si>
  <si>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</si>
  <si>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</si>
  <si>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</si>
  <si>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</si>
  <si>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</si>
  <si>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</si>
  <si>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</si>
  <si>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</si>
  <si>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</si>
  <si>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</si>
  <si>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</si>
  <si>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</si>
  <si>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</si>
  <si>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</si>
  <si>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</si>
  <si>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</si>
  <si>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</si>
  <si>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</si>
  <si>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</si>
  <si>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</si>
  <si>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</si>
  <si>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</si>
  <si>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</si>
  <si>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</si>
  <si>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</si>
  <si>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</si>
  <si>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</si>
  <si>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</si>
  <si>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</si>
  <si>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</si>
  <si>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</si>
  <si>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</si>
  <si>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</si>
  <si>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</si>
  <si>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</si>
  <si>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</si>
  <si>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</si>
  <si>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</si>
  <si>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</si>
  <si>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</si>
  <si>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</si>
  <si>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</si>
  <si>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</si>
  <si>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</si>
  <si>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</si>
  <si>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</si>
  <si>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</si>
  <si>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</si>
  <si>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</si>
  <si>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</si>
  <si>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</si>
  <si>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</si>
  <si>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</si>
  <si>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</si>
  <si>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</si>
  <si>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</si>
  <si>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</si>
  <si>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</si>
  <si>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</si>
  <si>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</si>
  <si>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</si>
  <si>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</si>
  <si>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</si>
  <si>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</si>
  <si>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</si>
  <si>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</si>
  <si>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</si>
  <si>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</si>
  <si>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</si>
  <si>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</si>
  <si>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</si>
  <si>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</si>
  <si>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</si>
  <si>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</si>
  <si>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</si>
  <si>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</si>
  <si>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</si>
  <si>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</si>
  <si>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</si>
  <si>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</si>
  <si>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</si>
  <si>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</si>
  <si>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</si>
  <si>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</si>
  <si>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</si>
  <si>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</si>
  <si>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</si>
  <si>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</si>
  <si>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</si>
  <si>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</si>
  <si>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</si>
  <si>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</si>
  <si>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</si>
  <si>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</si>
  <si>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</si>
  <si>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</si>
  <si>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</si>
  <si>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</si>
  <si>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</si>
  <si>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</si>
  <si>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</si>
  <si>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</si>
  <si>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</si>
  <si>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</si>
  <si>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</si>
  <si>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</si>
  <si>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</si>
  <si>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</si>
  <si>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</si>
  <si>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</si>
  <si>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</si>
  <si>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</si>
  <si>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</si>
  <si>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</si>
  <si>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</si>
  <si>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</si>
  <si>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</si>
  <si>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</si>
  <si>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</si>
  <si>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</si>
  <si>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</si>
  <si>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</si>
  <si>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</si>
  <si>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</si>
  <si>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</si>
  <si>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</si>
  <si>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</si>
  <si>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</si>
  <si>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</si>
  <si>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</si>
  <si>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</si>
  <si>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</si>
  <si>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</si>
  <si>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</si>
  <si>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</si>
  <si>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</si>
  <si>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</si>
  <si>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</si>
  <si>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</si>
  <si>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</si>
  <si>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</si>
  <si>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</si>
  <si>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</si>
  <si>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</si>
  <si>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</si>
  <si>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</si>
  <si>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</si>
  <si>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</si>
  <si>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</si>
  <si>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</si>
  <si>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</si>
  <si>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</si>
  <si>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</si>
  <si>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</si>
  <si>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</si>
  <si>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</si>
  <si>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</si>
  <si>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</si>
  <si>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</si>
  <si>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</si>
  <si>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</si>
  <si>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</si>
  <si>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</si>
  <si>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</si>
  <si>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</si>
  <si>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</si>
  <si>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</si>
  <si>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</si>
  <si>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</si>
  <si>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</si>
  <si>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</si>
  <si>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</si>
  <si>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</si>
  <si>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</si>
  <si>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</si>
  <si>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</si>
  <si>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</si>
  <si>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</si>
  <si>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</si>
  <si>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</si>
  <si>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</si>
  <si>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</si>
  <si>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</si>
  <si>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</si>
  <si>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</si>
  <si>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</si>
  <si>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</si>
  <si>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</si>
  <si>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</si>
  <si>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</si>
  <si>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</si>
  <si>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</si>
  <si>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</si>
  <si>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</si>
  <si>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</si>
  <si>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</si>
  <si>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</si>
  <si>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</si>
  <si>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</si>
  <si>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</si>
  <si>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</si>
  <si>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</si>
  <si>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</si>
  <si>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</si>
  <si>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</si>
  <si>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</si>
  <si>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</si>
  <si>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</si>
  <si>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</si>
  <si>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</si>
  <si>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</si>
  <si>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</si>
  <si>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</si>
  <si>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</si>
  <si>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</si>
  <si>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</si>
  <si>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</si>
  <si>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</si>
  <si>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</si>
  <si>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</si>
  <si>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</si>
  <si>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</si>
  <si>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</si>
  <si>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</si>
  <si>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</si>
  <si>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</si>
  <si>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</si>
  <si>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</si>
  <si>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</si>
  <si>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</si>
  <si>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</si>
  <si>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</si>
  <si>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</si>
  <si>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</si>
  <si>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</si>
  <si>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</si>
  <si>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</si>
  <si>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</si>
  <si>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</si>
  <si>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</si>
  <si>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</si>
  <si>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</si>
  <si>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</si>
  <si>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</si>
  <si>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</si>
  <si>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</si>
  <si>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</si>
  <si>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</si>
  <si>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</si>
  <si>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</si>
  <si>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</si>
  <si>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</si>
  <si>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</si>
  <si>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</si>
  <si>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</si>
  <si>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</si>
  <si>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</si>
  <si>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</si>
  <si>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</si>
  <si>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</si>
  <si>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</si>
  <si>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</si>
  <si>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</si>
  <si>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</si>
  <si>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</si>
  <si>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</si>
  <si>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</si>
  <si>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</si>
  <si>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</si>
  <si>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</si>
  <si>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</si>
  <si>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</si>
  <si>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</si>
  <si>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</si>
  <si>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</si>
  <si>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</si>
  <si>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</si>
  <si>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</si>
  <si>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</si>
  <si>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</si>
  <si>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</si>
  <si>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</si>
  <si>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</si>
  <si>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</si>
  <si>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</si>
  <si>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</si>
  <si>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</si>
  <si>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</si>
  <si>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</si>
  <si>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</si>
  <si>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</si>
  <si>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</si>
  <si>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</si>
  <si>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</si>
  <si>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</si>
  <si>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</si>
  <si>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</si>
  <si>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</si>
  <si>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</si>
  <si>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</si>
  <si>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</si>
  <si>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</si>
  <si>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</si>
  <si>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</si>
  <si>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</si>
  <si>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</si>
  <si>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</si>
  <si>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</si>
  <si>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</si>
  <si>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</si>
  <si>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</si>
  <si>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</si>
  <si>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</si>
  <si>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</si>
  <si>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</si>
  <si>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</si>
  <si>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</si>
  <si>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</si>
  <si>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</si>
  <si>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</si>
  <si>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</si>
  <si>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</si>
  <si>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</si>
  <si>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</si>
  <si>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</si>
  <si>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</si>
  <si>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</si>
  <si>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</si>
  <si>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</si>
  <si>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</si>
  <si>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</si>
  <si>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</si>
  <si>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</si>
  <si>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</si>
  <si>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</si>
  <si>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</si>
  <si>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</si>
  <si>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</si>
  <si>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</si>
  <si>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</si>
  <si>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</si>
  <si>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</si>
  <si>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</si>
  <si>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</si>
  <si>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</si>
  <si>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</si>
  <si>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</si>
  <si>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</si>
  <si>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</si>
  <si>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</si>
  <si>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</si>
  <si>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</si>
  <si>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</si>
  <si>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</si>
  <si>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</si>
  <si>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</si>
  <si>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</si>
  <si>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</si>
  <si>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</si>
  <si>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</si>
  <si>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</si>
  <si>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</si>
  <si>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</si>
  <si>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</si>
  <si>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</si>
  <si>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</si>
  <si>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</si>
  <si>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</si>
  <si>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</si>
  <si>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</si>
  <si>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</si>
  <si>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</si>
  <si>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</si>
  <si>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</si>
  <si>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</si>
  <si>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</si>
  <si>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</si>
  <si>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</si>
  <si>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</si>
  <si>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</si>
  <si>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</si>
  <si>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</si>
  <si>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</si>
  <si>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</si>
  <si>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</si>
  <si>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</si>
  <si>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</si>
  <si>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</si>
  <si>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</si>
  <si>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</si>
  <si>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</si>
  <si>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</si>
  <si>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</si>
  <si>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</si>
  <si>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</si>
  <si>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</si>
  <si>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</si>
  <si>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</si>
  <si>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</si>
  <si>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</si>
  <si>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</si>
  <si>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</si>
  <si>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</si>
  <si>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</si>
  <si>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</si>
  <si>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</si>
  <si>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</si>
  <si>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</si>
  <si>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</si>
  <si>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</si>
  <si>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</si>
  <si>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</si>
  <si>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</si>
  <si>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</si>
  <si>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</si>
  <si>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</si>
  <si>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</si>
  <si>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</si>
  <si>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</si>
  <si>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</si>
  <si>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</si>
  <si>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</si>
  <si>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</si>
  <si>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</si>
  <si>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</si>
  <si>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</si>
  <si>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</si>
  <si>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</si>
  <si>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</si>
  <si>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</si>
  <si>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</si>
  <si>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</si>
  <si>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</si>
  <si>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</si>
  <si>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</si>
  <si>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</si>
  <si>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</si>
  <si>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</si>
  <si>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</si>
  <si>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</si>
  <si>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</si>
  <si>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</si>
  <si>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</si>
  <si>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</si>
  <si>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</si>
  <si>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</si>
  <si>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</si>
  <si>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</si>
  <si>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</si>
  <si>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</si>
  <si>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</si>
  <si>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</si>
  <si>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</si>
  <si>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</si>
  <si>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</si>
  <si>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</si>
  <si>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</si>
  <si>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</si>
  <si>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</si>
  <si>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</si>
  <si>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</si>
  <si>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</si>
  <si>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</si>
  <si>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</si>
  <si>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</si>
  <si>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</si>
  <si>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</si>
  <si>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</si>
  <si>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</si>
  <si>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</si>
  <si>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</si>
  <si>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</si>
  <si>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</si>
  <si>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</si>
  <si>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</si>
  <si>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</si>
  <si>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</si>
  <si>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</si>
  <si>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</si>
  <si>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</si>
  <si>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</si>
  <si>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</si>
  <si>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</si>
  <si>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</si>
  <si>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</si>
  <si>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</si>
  <si>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</si>
  <si>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</si>
  <si>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</si>
  <si>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</si>
  <si>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</si>
  <si>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</si>
  <si>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</si>
  <si>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</si>
  <si>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</si>
  <si>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</si>
  <si>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</si>
  <si>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</si>
  <si>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</si>
  <si>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</si>
  <si>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</si>
  <si>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</si>
  <si>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</si>
  <si>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</si>
  <si>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</si>
  <si>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</si>
  <si>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</si>
  <si>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</si>
  <si>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</si>
  <si>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</si>
  <si>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</si>
  <si>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</si>
  <si>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</si>
  <si>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</si>
  <si>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</si>
  <si>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</si>
  <si>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</si>
  <si>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</si>
  <si>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</si>
  <si>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</si>
  <si>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</si>
  <si>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</si>
  <si>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</si>
  <si>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</si>
  <si>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</si>
  <si>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</si>
  <si>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</si>
  <si>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</si>
  <si>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</si>
  <si>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</si>
  <si>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</si>
  <si>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</si>
  <si>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</si>
  <si>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</si>
  <si>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</si>
  <si>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</si>
  <si>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</si>
  <si>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</si>
  <si>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</si>
  <si>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</si>
  <si>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</si>
  <si>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</si>
  <si>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</si>
  <si>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</si>
  <si>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</si>
  <si>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</si>
  <si>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</si>
  <si>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</si>
  <si>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</si>
  <si>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</si>
  <si>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</si>
  <si>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</si>
  <si>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</si>
  <si>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</si>
  <si>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</si>
  <si>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</si>
  <si>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</si>
  <si>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</si>
  <si>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</si>
  <si>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</si>
  <si>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</si>
  <si>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</si>
  <si>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</si>
  <si>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</si>
  <si>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</si>
  <si>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</si>
  <si>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</si>
  <si>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</si>
  <si>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</si>
  <si>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</si>
  <si>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</si>
  <si>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</si>
  <si>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</si>
  <si>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</si>
  <si>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</si>
  <si>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</si>
  <si>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</si>
  <si>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</si>
  <si>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</si>
  <si>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</si>
  <si>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</si>
  <si>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</si>
  <si>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</si>
  <si>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</si>
  <si>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</si>
  <si>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</si>
  <si>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</si>
  <si>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</si>
  <si>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</si>
  <si>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</si>
  <si>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</si>
  <si>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</si>
  <si>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</si>
  <si>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</si>
  <si>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</si>
  <si>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</si>
  <si>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</si>
  <si>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</si>
  <si>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</si>
  <si>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</si>
  <si>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</si>
  <si>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</si>
  <si>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</si>
  <si>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</si>
  <si>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</si>
  <si>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</si>
  <si>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</si>
  <si>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</si>
  <si>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</si>
  <si>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</si>
  <si>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</si>
  <si>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</si>
  <si>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</si>
  <si>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</si>
  <si>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</si>
  <si>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</si>
  <si>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</si>
  <si>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</si>
  <si>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</si>
  <si>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</si>
  <si>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</si>
  <si>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</si>
  <si>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</si>
  <si>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</si>
  <si>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</si>
  <si>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</si>
  <si>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</si>
  <si>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</si>
  <si>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</si>
  <si>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</si>
  <si>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</si>
  <si>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</si>
  <si>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</si>
  <si>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</si>
  <si>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</si>
  <si>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</si>
  <si>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</si>
  <si>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</si>
  <si>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</si>
  <si>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</si>
  <si>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</si>
  <si>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</si>
  <si>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</si>
  <si>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</si>
  <si>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</si>
  <si>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</si>
  <si>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</si>
  <si>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</si>
  <si>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</si>
  <si>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</si>
  <si>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</si>
  <si>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</si>
  <si>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</si>
  <si>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</si>
  <si>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</si>
  <si>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</si>
  <si>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</si>
  <si>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</si>
  <si>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</si>
  <si>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</si>
  <si>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</si>
  <si>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</si>
  <si>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</si>
  <si>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</si>
  <si>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</si>
  <si>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</si>
  <si>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</si>
  <si>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</si>
  <si>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</si>
  <si>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</si>
  <si>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</si>
  <si>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</si>
  <si>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</si>
  <si>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</si>
  <si>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</si>
  <si>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</si>
  <si>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</si>
  <si>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</si>
  <si>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</si>
  <si>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</si>
  <si>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</si>
  <si>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</si>
  <si>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</si>
  <si>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</si>
  <si>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</si>
  <si>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</si>
  <si>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</si>
  <si>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</si>
  <si>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</si>
  <si>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</si>
  <si>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</si>
  <si>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</si>
  <si>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</si>
  <si>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</si>
  <si>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</si>
  <si>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</si>
  <si>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</si>
  <si>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</si>
  <si>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</si>
  <si>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</si>
  <si>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</si>
  <si>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</si>
  <si>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</si>
  <si>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</si>
  <si>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</si>
  <si>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</si>
  <si>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</si>
  <si>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</si>
  <si>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</si>
  <si>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</si>
  <si>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</si>
  <si>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</si>
  <si>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</si>
  <si>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</si>
  <si>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</si>
  <si>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</si>
  <si>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</si>
  <si>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</si>
  <si>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</si>
  <si>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</si>
  <si>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</si>
  <si>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</si>
  <si>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</si>
  <si>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</si>
  <si>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</si>
  <si>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</si>
  <si>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</si>
  <si>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</si>
  <si>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</si>
  <si>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</si>
  <si>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</si>
  <si>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</si>
  <si>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</si>
  <si>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</si>
  <si>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</si>
  <si>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</si>
  <si>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</si>
  <si>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</si>
  <si>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</si>
  <si>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</si>
  <si>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</si>
  <si>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</si>
  <si>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</si>
  <si>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</si>
  <si>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</si>
  <si>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</si>
  <si>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</si>
  <si>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</si>
  <si>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</si>
  <si>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</si>
  <si>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</si>
  <si>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</si>
  <si>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</si>
  <si>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</si>
  <si>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</si>
  <si>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</si>
  <si>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</si>
  <si>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</si>
  <si>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</si>
  <si>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</si>
  <si>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</si>
  <si>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</si>
  <si>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</si>
  <si>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</si>
  <si>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</si>
  <si>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</si>
  <si>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</si>
  <si>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</si>
  <si>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</si>
  <si>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</si>
  <si>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</si>
  <si>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</si>
  <si>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</si>
  <si>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</si>
  <si>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</si>
  <si>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</si>
  <si>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</si>
  <si>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</si>
  <si>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</si>
  <si>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</si>
  <si>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</si>
  <si>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</si>
  <si>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</si>
  <si>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</si>
  <si>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</si>
  <si>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</si>
  <si>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</si>
  <si>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</si>
  <si>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</si>
  <si>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</si>
  <si>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</si>
  <si>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</si>
  <si>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</si>
  <si>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</si>
  <si>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</si>
  <si>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</si>
  <si>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</si>
  <si>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</si>
  <si>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</si>
  <si>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</si>
  <si>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</si>
  <si>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</si>
  <si>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</si>
  <si>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</si>
  <si>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</si>
  <si>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</si>
  <si>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</si>
  <si>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</si>
  <si>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</si>
  <si>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</si>
  <si>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</si>
  <si>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</si>
  <si>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</si>
  <si>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</si>
  <si>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</si>
  <si>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</si>
  <si>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</si>
  <si>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</si>
  <si>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</si>
  <si>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ESPLUGUES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</si>
</sst>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ShVEcfzuMexVC2XQh29LJYvzNbS8emAVaW3OuEtMoghhv52N+GB3u0V/wrzo1SjL9q3fkS/ESyeKDwSwa1tFw==" saltValue="gwD9gc8g4IHm41EjDNfU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15</v>
      </c>
      <c r="F10" s="226">
        <f>IF(ISNUMBER(Datos!K10),Datos!K10," - ")</f>
        <v>9</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0.22222222222222221</v>
      </c>
      <c r="L10" s="1025">
        <f>IF(ISNUMBER(NºAsuntos!I10/NºAsuntos!G10),(NºAsuntos!I10/NºAsuntos!G10)*11," - ")</f>
        <v>40.333333333333329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38.109090909090909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15</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1070</v>
      </c>
      <c r="D16" s="225">
        <f>IF(ISNUMBER(IF(D_I="SI",Datos!I16,Datos!I16+Datos!AC16)),IF(D_I="SI",Datos!I16,Datos!I16+Datos!AC16)," - ")</f>
        <v>1070</v>
      </c>
      <c r="E16" s="226">
        <f>IF(ISNUMBER(IF(D_I="SI",Datos!J16,Datos!J16+Datos!AD16)),IF(D_I="SI",Datos!J16,Datos!J16+Datos!AD16)," - ")</f>
        <v>909</v>
      </c>
      <c r="F16" s="226">
        <f>IF(ISNUMBER(IF(D_I="SI",Datos!K16,Datos!K16+Datos!AE16)),IF(D_I="SI",Datos!K16,Datos!K16+Datos!AE16)," - ")</f>
        <v>868</v>
      </c>
      <c r="G16" s="1034" t="str">
        <f>IF(Datos!E16&lt;&gt;"",Datos!E16,Datos!D16)</f>
        <v>04</v>
      </c>
      <c r="H16" s="227">
        <f>IF(ISNUMBER(IF(D_I="SI",Datos!L16,Datos!L16+Datos!AF16)),IF(D_I="SI",Datos!L16,Datos!L16+Datos!AF16)," - ")</f>
        <v>1111</v>
      </c>
      <c r="I16" s="1044" t="str">
        <f>IF(ISNUMBER(Datos!AS16/Datos!BM16),Datos!AS16/Datos!BM16," - ")</f>
        <v xml:space="preserve"> - </v>
      </c>
      <c r="J16" s="1045">
        <f>IF(ISNUMBER(Datos!BY16/Datos!CN16),Datos!BY16/Datos!CN16," - ")</f>
        <v>0</v>
      </c>
      <c r="K16" s="230">
        <f t="shared" si="3"/>
        <v>3.8317757009345796E-2</v>
      </c>
      <c r="L16" s="1025">
        <f>IF(ISNUMBER(NºAsuntos!I16/NºAsuntos!G16),(NºAsuntos!I16/NºAsuntos!G16)*11," - ")</f>
        <v>14.079493087557605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172</v>
      </c>
      <c r="D17" s="225">
        <f>IF(ISNUMBER(IF(D_I="SI",Datos!I17,Datos!I17+Datos!AC17)),IF(D_I="SI",Datos!I17,Datos!I17+Datos!AC17)," - ")</f>
        <v>172</v>
      </c>
      <c r="E17" s="226">
        <f>IF(ISNUMBER(IF(D_I="SI",Datos!J17,Datos!J17+Datos!AD17)),IF(D_I="SI",Datos!J17,Datos!J17+Datos!AD17)," - ")</f>
        <v>51</v>
      </c>
      <c r="F17" s="226">
        <f>IF(ISNUMBER(IF(D_I="SI",Datos!K17,Datos!K17+Datos!AE17)),IF(D_I="SI",Datos!K17,Datos!K17+Datos!AE17)," - ")</f>
        <v>58</v>
      </c>
      <c r="G17" s="1034" t="str">
        <f>IF(Datos!E17&lt;&gt;"",Datos!E17,Datos!D17)</f>
        <v>37</v>
      </c>
      <c r="H17" s="227">
        <f>IF(ISNUMBER(IF(D_I="SI",Datos!L17,Datos!L17+Datos!AF17)),IF(D_I="SI",Datos!L17,Datos!L17+Datos!AF17)," - ")</f>
        <v>165</v>
      </c>
      <c r="I17" s="1044" t="str">
        <f>IF(ISNUMBER(Datos!AS17/Datos!BM17),Datos!AS17/Datos!BM17," - ")</f>
        <v xml:space="preserve"> - </v>
      </c>
      <c r="J17" s="1045" t="str">
        <f>IF(ISNUMBER((Datos!BY17+Datos!BZ17)/Datos!CN17),(Datos!BY17+Datos!BZ17)/Datos!CN17," - ")</f>
        <v xml:space="preserve"> - </v>
      </c>
      <c r="K17" s="230">
        <f t="shared" si="3"/>
        <v>-4.0697674418604654E-2</v>
      </c>
      <c r="L17" s="1025">
        <f>IF(ISNUMBER(NºAsuntos!I17/NºAsuntos!G17),(NºAsuntos!I17/NºAsuntos!G17)*11," - ")</f>
        <v>31.293103448275861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1242</v>
      </c>
      <c r="D18" s="1049">
        <f>SUBTOTAL(9,D15:D17)</f>
        <v>1242</v>
      </c>
      <c r="E18" s="1050">
        <f>SUBTOTAL(9,E15:E17)</f>
        <v>960</v>
      </c>
      <c r="F18" s="1050">
        <f>SUBTOTAL(9,F15:F17)</f>
        <v>926</v>
      </c>
      <c r="G18" s="1052" t="str">
        <f ca="1">INDIRECT(CONCATENATE("G",ROW()-1))</f>
        <v>37</v>
      </c>
      <c r="H18" s="1053">
        <f ca="1">SUMIF(G$14:G17,G18,H$14:H17)</f>
        <v>165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1269</v>
      </c>
      <c r="D19" s="1071">
        <f>SUBTOTAL(9,D9:D18)</f>
        <v>1269</v>
      </c>
      <c r="E19" s="1072">
        <f>SUBTOTAL(9,E9:E18)</f>
        <v>975</v>
      </c>
      <c r="F19" s="1072">
        <f>SUBTOTAL(9,F9:F18)</f>
        <v>935</v>
      </c>
      <c r="G19" s="1073"/>
      <c r="H19" s="1074">
        <f ca="1">SUMIF(B9:B18,"TOTAL",H9:H18)</f>
        <v>165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otbK78Hy6H2ltvNfYksm9OScxCgaQ1Itw+WRM3zZvy3jaAuZfbBdfVgX4qVziUrBPQZdYgBRau6LgSvC07fzw==" saltValue="iOZa9N3uDLASw6ELV0HA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ExHRUE9PLYDeOEU0Ruvr3j7o3xty2yuwzrIzbmMoCQWXQO76Q8Cc4aLblHYmCiOOkp7QolmygxGwQjau73JnA==" saltValue="S2H4GOMGcmrueIb0s9AA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15</v>
      </c>
      <c r="K10" s="181">
        <v>9</v>
      </c>
      <c r="L10" s="181">
        <v>33</v>
      </c>
      <c r="M10" s="181">
        <v>2</v>
      </c>
      <c r="N10" s="181">
        <v>2</v>
      </c>
      <c r="O10" s="181">
        <v>0</v>
      </c>
      <c r="P10" s="181">
        <v>0</v>
      </c>
      <c r="Q10" s="181">
        <v>0</v>
      </c>
      <c r="R10" s="181">
        <v>8</v>
      </c>
      <c r="S10" s="181">
        <v>37</v>
      </c>
      <c r="T10" s="181">
        <v>1</v>
      </c>
      <c r="U10" s="181">
        <v>0</v>
      </c>
      <c r="V10" s="181">
        <v>38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37</v>
      </c>
      <c r="AZ10" s="129">
        <f t="shared" si="0"/>
        <v>1</v>
      </c>
      <c r="BA10" s="129">
        <f t="shared" si="0"/>
        <v>0</v>
      </c>
      <c r="BB10" s="129">
        <f t="shared" si="0"/>
        <v>38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1863</v>
      </c>
      <c r="J12" s="183">
        <v>626</v>
      </c>
      <c r="K12" s="183">
        <v>475</v>
      </c>
      <c r="L12" s="183">
        <v>2014</v>
      </c>
      <c r="M12" s="183">
        <v>75</v>
      </c>
      <c r="N12" s="183">
        <v>317</v>
      </c>
      <c r="O12" s="181">
        <v>183</v>
      </c>
      <c r="P12" s="183">
        <v>82</v>
      </c>
      <c r="Q12" s="183">
        <v>41</v>
      </c>
      <c r="R12" s="183">
        <v>2183</v>
      </c>
      <c r="S12" s="183">
        <v>1654</v>
      </c>
      <c r="T12" s="183">
        <v>690</v>
      </c>
      <c r="U12" s="183">
        <v>461</v>
      </c>
      <c r="V12" s="183">
        <v>1883</v>
      </c>
      <c r="W12" s="183">
        <v>70</v>
      </c>
      <c r="X12" s="189">
        <v>334</v>
      </c>
      <c r="Y12" s="191">
        <v>63</v>
      </c>
      <c r="Z12" s="181">
        <v>149</v>
      </c>
      <c r="AA12" s="181">
        <v>130</v>
      </c>
      <c r="AB12" s="181">
        <v>82</v>
      </c>
      <c r="AC12" s="183">
        <v>0</v>
      </c>
      <c r="AD12" s="183">
        <v>0</v>
      </c>
      <c r="AE12" s="183">
        <v>0</v>
      </c>
      <c r="AF12" s="189">
        <v>0</v>
      </c>
      <c r="AG12" s="202">
        <v>81</v>
      </c>
      <c r="AH12" s="183">
        <v>143</v>
      </c>
      <c r="AI12" s="183">
        <v>148</v>
      </c>
      <c r="AJ12" s="203">
        <v>76</v>
      </c>
      <c r="AK12" s="182">
        <v>0</v>
      </c>
      <c r="AL12" s="183">
        <v>0</v>
      </c>
      <c r="AM12" s="183">
        <v>0</v>
      </c>
      <c r="AN12" s="189">
        <v>0</v>
      </c>
      <c r="AO12" s="259">
        <v>3</v>
      </c>
      <c r="AP12" s="155">
        <v>3</v>
      </c>
      <c r="AQ12" s="155">
        <v>3</v>
      </c>
      <c r="AR12" s="154">
        <v>3</v>
      </c>
      <c r="AS12" s="340" t="s">
        <v>802</v>
      </c>
      <c r="AT12" s="203"/>
      <c r="AU12" s="202"/>
      <c r="AV12" s="203"/>
      <c r="AW12" s="202"/>
      <c r="AX12" s="203"/>
      <c r="AY12" s="126">
        <f t="shared" si="1"/>
        <v>1735</v>
      </c>
      <c r="AZ12" s="127">
        <f t="shared" si="1"/>
        <v>833</v>
      </c>
      <c r="BA12" s="127">
        <f t="shared" si="1"/>
        <v>609</v>
      </c>
      <c r="BB12" s="127">
        <f t="shared" si="1"/>
        <v>1959</v>
      </c>
      <c r="BC12" s="125">
        <f>IF(ISNUMBER(X12),X12," - ")</f>
        <v>334</v>
      </c>
      <c r="BD12" s="126">
        <f t="shared" si="2"/>
        <v>0.73109243697478987</v>
      </c>
      <c r="BE12" s="127">
        <f t="shared" si="3"/>
        <v>3.2167487684729066</v>
      </c>
      <c r="BF12" s="127">
        <f t="shared" si="4"/>
        <v>0.54844006568144499</v>
      </c>
      <c r="BG12" s="196">
        <f t="shared" si="5"/>
        <v>4.2167487684729066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1890</v>
      </c>
      <c r="J13" s="184">
        <f t="shared" si="6"/>
        <v>641</v>
      </c>
      <c r="K13" s="184">
        <f t="shared" si="6"/>
        <v>484</v>
      </c>
      <c r="L13" s="184">
        <f t="shared" si="6"/>
        <v>2047</v>
      </c>
      <c r="M13" s="184">
        <f t="shared" si="6"/>
        <v>77</v>
      </c>
      <c r="N13" s="184">
        <f t="shared" si="6"/>
        <v>319</v>
      </c>
      <c r="O13" s="184">
        <f t="shared" si="6"/>
        <v>183</v>
      </c>
      <c r="P13" s="184">
        <f t="shared" si="6"/>
        <v>82</v>
      </c>
      <c r="Q13" s="184">
        <f t="shared" si="6"/>
        <v>41</v>
      </c>
      <c r="R13" s="184">
        <f t="shared" si="6"/>
        <v>2191</v>
      </c>
      <c r="S13" s="184">
        <f t="shared" si="6"/>
        <v>1691</v>
      </c>
      <c r="T13" s="184">
        <f t="shared" si="6"/>
        <v>691</v>
      </c>
      <c r="U13" s="184">
        <f t="shared" si="6"/>
        <v>461</v>
      </c>
      <c r="V13" s="184">
        <f t="shared" si="6"/>
        <v>1921</v>
      </c>
      <c r="W13" s="184">
        <f t="shared" si="6"/>
        <v>70</v>
      </c>
      <c r="X13" s="184">
        <f t="shared" si="6"/>
        <v>334</v>
      </c>
      <c r="Y13" s="184">
        <f t="shared" si="6"/>
        <v>63</v>
      </c>
      <c r="Z13" s="184">
        <f t="shared" si="6"/>
        <v>149</v>
      </c>
      <c r="AA13" s="184">
        <f t="shared" si="6"/>
        <v>130</v>
      </c>
      <c r="AB13" s="184">
        <f t="shared" si="6"/>
        <v>82</v>
      </c>
      <c r="AC13" s="184">
        <f t="shared" si="6"/>
        <v>0</v>
      </c>
      <c r="AD13" s="184">
        <f t="shared" si="6"/>
        <v>0</v>
      </c>
      <c r="AE13" s="184">
        <f t="shared" si="6"/>
        <v>0</v>
      </c>
      <c r="AF13" s="184">
        <f>SUBTOTAL(9,AF9:AF12)</f>
        <v>0</v>
      </c>
      <c r="AG13" s="184">
        <f t="shared" ref="AG13:AT13" si="7">SUBTOTAL(9,AG8:AG12)</f>
        <v>81</v>
      </c>
      <c r="AH13" s="184">
        <f t="shared" si="7"/>
        <v>143</v>
      </c>
      <c r="AI13" s="184">
        <f t="shared" si="7"/>
        <v>148</v>
      </c>
      <c r="AJ13" s="184">
        <f t="shared" si="7"/>
        <v>76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1772</v>
      </c>
      <c r="AZ13" s="184">
        <f>SUBTOTAL(9,AZ8:AZ12)</f>
        <v>834</v>
      </c>
      <c r="BA13" s="184">
        <f>SUBTOTAL(9,BA8:BA12)</f>
        <v>609</v>
      </c>
      <c r="BB13" s="184">
        <f>SUBTOTAL(9,BB8:BB12)</f>
        <v>1997</v>
      </c>
      <c r="BC13" s="184">
        <f>SUBTOTAL(9,BC8:BC12)</f>
        <v>334</v>
      </c>
      <c r="BD13" s="205">
        <f>IF(ISNUMBER(BA13/AZ13),BA13/AZ13," - ")</f>
        <v>0.73021582733812951</v>
      </c>
      <c r="BE13" s="206">
        <f>IF(ISNUMBER(BB13/BA13),BB13/BA13, " - ")</f>
        <v>3.2791461412151066</v>
      </c>
      <c r="BF13" s="206">
        <f>IF(ISNUMBER(BC13/BA13),BC13/BA13, " - ")</f>
        <v>0.54844006568144499</v>
      </c>
      <c r="BG13" s="207">
        <f>IF(ISNUMBER((AY13+AZ13)/BA13),(AY13+AZ13)/BA13," - ")</f>
        <v>4.2791461412151071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1070</v>
      </c>
      <c r="J16" s="183">
        <v>909</v>
      </c>
      <c r="K16" s="183">
        <v>868</v>
      </c>
      <c r="L16" s="183">
        <v>1111</v>
      </c>
      <c r="M16" s="183">
        <v>88</v>
      </c>
      <c r="N16" s="183">
        <v>676</v>
      </c>
      <c r="O16" s="181">
        <v>4</v>
      </c>
      <c r="P16" s="183">
        <v>10</v>
      </c>
      <c r="Q16" s="183">
        <v>5</v>
      </c>
      <c r="R16" s="183">
        <v>93</v>
      </c>
      <c r="S16" s="183">
        <v>1116</v>
      </c>
      <c r="T16" s="183">
        <v>824</v>
      </c>
      <c r="U16" s="183">
        <v>768</v>
      </c>
      <c r="V16" s="183">
        <v>1172</v>
      </c>
      <c r="W16" s="183">
        <v>53</v>
      </c>
      <c r="X16" s="189">
        <v>581</v>
      </c>
      <c r="Y16" s="202">
        <v>0</v>
      </c>
      <c r="Z16" s="183">
        <v>0</v>
      </c>
      <c r="AA16" s="183">
        <v>0</v>
      </c>
      <c r="AB16" s="183">
        <v>0</v>
      </c>
      <c r="AC16" s="183">
        <v>0</v>
      </c>
      <c r="AD16" s="183">
        <v>1</v>
      </c>
      <c r="AE16" s="183">
        <v>1</v>
      </c>
      <c r="AF16" s="189">
        <v>0</v>
      </c>
      <c r="AG16" s="202">
        <v>0</v>
      </c>
      <c r="AH16" s="183">
        <v>0</v>
      </c>
      <c r="AI16" s="183">
        <v>0</v>
      </c>
      <c r="AJ16" s="203">
        <v>0</v>
      </c>
      <c r="AK16" s="182">
        <v>0</v>
      </c>
      <c r="AL16" s="183">
        <v>3</v>
      </c>
      <c r="AM16" s="183">
        <v>3</v>
      </c>
      <c r="AN16" s="189">
        <v>0</v>
      </c>
      <c r="AO16" s="259">
        <v>3</v>
      </c>
      <c r="AP16" s="155">
        <v>3</v>
      </c>
      <c r="AQ16" s="155">
        <v>3</v>
      </c>
      <c r="AR16" s="155">
        <v>3</v>
      </c>
      <c r="AS16" s="340" t="s">
        <v>487</v>
      </c>
      <c r="AT16" s="203"/>
      <c r="AU16" s="202"/>
      <c r="AV16" s="203"/>
      <c r="AW16" s="202"/>
      <c r="AX16" s="203"/>
      <c r="AY16" s="126">
        <f t="shared" si="9"/>
        <v>1116</v>
      </c>
      <c r="AZ16" s="127">
        <f t="shared" si="9"/>
        <v>824</v>
      </c>
      <c r="BA16" s="127">
        <f t="shared" si="9"/>
        <v>768</v>
      </c>
      <c r="BB16" s="127">
        <f t="shared" si="9"/>
        <v>1172</v>
      </c>
      <c r="BC16" s="125">
        <f>IF(ISNUMBER(W16),W16," - ")</f>
        <v>53</v>
      </c>
      <c r="BD16" s="126">
        <f t="shared" ref="BD16" si="11">IF(ISNUMBER(BA16/AZ16),BA16/AZ16," - ")</f>
        <v>0.93203883495145634</v>
      </c>
      <c r="BE16" s="127">
        <f t="shared" ref="BE16" si="12">IF(ISNUMBER(BB16/BA16),BB16/BA16, " - ")</f>
        <v>1.5260416666666667</v>
      </c>
      <c r="BF16" s="127">
        <f t="shared" ref="BF16" si="13">IF(ISNUMBER(BC16/BA16),BC16/BA16, " - ")</f>
        <v>6.9010416666666671E-2</v>
      </c>
      <c r="BG16" s="196">
        <f t="shared" si="10"/>
        <v>2.5260416666666665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172</v>
      </c>
      <c r="J17" s="183">
        <v>51</v>
      </c>
      <c r="K17" s="183">
        <v>58</v>
      </c>
      <c r="L17" s="183">
        <v>165</v>
      </c>
      <c r="M17" s="183">
        <v>4</v>
      </c>
      <c r="N17" s="183">
        <v>49</v>
      </c>
      <c r="O17" s="183">
        <v>0</v>
      </c>
      <c r="P17" s="183">
        <v>0</v>
      </c>
      <c r="Q17" s="183">
        <v>0</v>
      </c>
      <c r="R17" s="183">
        <v>1</v>
      </c>
      <c r="S17" s="183">
        <v>174</v>
      </c>
      <c r="T17" s="183">
        <v>40</v>
      </c>
      <c r="U17" s="183">
        <v>33</v>
      </c>
      <c r="V17" s="183">
        <v>181</v>
      </c>
      <c r="W17" s="183">
        <v>3</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174</v>
      </c>
      <c r="AZ17" s="129">
        <f t="shared" si="14"/>
        <v>40</v>
      </c>
      <c r="BA17" s="129">
        <f t="shared" si="14"/>
        <v>33</v>
      </c>
      <c r="BB17" s="129">
        <f t="shared" si="14"/>
        <v>181</v>
      </c>
      <c r="BC17" s="125">
        <f>IF(ISNUMBER(W17),W17," - ")</f>
        <v>3</v>
      </c>
      <c r="BD17" s="126">
        <f>IF(ISNUMBER(BA17/AZ17),BA17/AZ17," - ")</f>
        <v>0.82499999999999996</v>
      </c>
      <c r="BE17" s="127">
        <f>IF(ISNUMBER(BB17/BA17),BB17/BA17, " - ")</f>
        <v>5.4848484848484844</v>
      </c>
      <c r="BF17" s="127">
        <f>IF(ISNUMBER(BC17/BA17),BC17/BA17, " - ")</f>
        <v>9.0909090909090912E-2</v>
      </c>
      <c r="BG17" s="196">
        <f>IF(ISNUMBER((AY17+AZ17)/BA17),(AY17+AZ17)/BA17," - ")</f>
        <v>6.4848484848484844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1242</v>
      </c>
      <c r="J18" s="184">
        <f t="shared" si="15"/>
        <v>960</v>
      </c>
      <c r="K18" s="184">
        <f t="shared" si="15"/>
        <v>926</v>
      </c>
      <c r="L18" s="184">
        <f t="shared" si="15"/>
        <v>1276</v>
      </c>
      <c r="M18" s="184">
        <f t="shared" si="15"/>
        <v>92</v>
      </c>
      <c r="N18" s="184">
        <f t="shared" si="15"/>
        <v>725</v>
      </c>
      <c r="O18" s="184">
        <f t="shared" si="15"/>
        <v>4</v>
      </c>
      <c r="P18" s="184">
        <f t="shared" si="15"/>
        <v>10</v>
      </c>
      <c r="Q18" s="184">
        <f t="shared" si="15"/>
        <v>5</v>
      </c>
      <c r="R18" s="184">
        <f t="shared" si="15"/>
        <v>94</v>
      </c>
      <c r="S18" s="184">
        <f t="shared" si="15"/>
        <v>1290</v>
      </c>
      <c r="T18" s="184">
        <f t="shared" si="15"/>
        <v>864</v>
      </c>
      <c r="U18" s="184">
        <f t="shared" si="15"/>
        <v>801</v>
      </c>
      <c r="V18" s="184">
        <f t="shared" si="15"/>
        <v>1353</v>
      </c>
      <c r="W18" s="184">
        <f t="shared" si="15"/>
        <v>56</v>
      </c>
      <c r="X18" s="184">
        <f t="shared" si="15"/>
        <v>594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1290</v>
      </c>
      <c r="AZ18" s="184">
        <f>SUBTOTAL(9,AZ14:AZ17)</f>
        <v>864</v>
      </c>
      <c r="BA18" s="184">
        <f>SUBTOTAL(9,BA14:BA17)</f>
        <v>801</v>
      </c>
      <c r="BB18" s="184">
        <f>SUBTOTAL(9,BB14:BB17)</f>
        <v>1353</v>
      </c>
      <c r="BC18" s="184">
        <f>SUBTOTAL(9,BC14:BC17)</f>
        <v>56</v>
      </c>
      <c r="BD18" s="205">
        <f>IF(ISNUMBER(BA18/AZ18),BA18/AZ18," - ")</f>
        <v>0.92708333333333337</v>
      </c>
      <c r="BE18" s="206">
        <f>IF(ISNUMBER(BB18/BA18),BB18/BA18, " - ")</f>
        <v>1.6891385767790261</v>
      </c>
      <c r="BF18" s="206">
        <f>IF(ISNUMBER(BC18/BA18),BC18/BA18, " - ")</f>
        <v>6.9912609238451939E-2</v>
      </c>
      <c r="BG18" s="207">
        <f>IF(ISNUMBER((AY18+AZ18)/BA18),(AY18+AZ18)/BA18," - ")</f>
        <v>2.6891385767790261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3132</v>
      </c>
      <c r="J19" s="134">
        <f t="shared" si="18"/>
        <v>1601</v>
      </c>
      <c r="K19" s="134">
        <f t="shared" si="18"/>
        <v>1410</v>
      </c>
      <c r="L19" s="134">
        <f t="shared" si="18"/>
        <v>3323</v>
      </c>
      <c r="M19" s="134">
        <f t="shared" si="18"/>
        <v>169</v>
      </c>
      <c r="N19" s="134">
        <f t="shared" si="18"/>
        <v>1044</v>
      </c>
      <c r="O19" s="134">
        <f t="shared" si="18"/>
        <v>187</v>
      </c>
      <c r="P19" s="134">
        <f t="shared" si="18"/>
        <v>92</v>
      </c>
      <c r="Q19" s="134">
        <f t="shared" si="18"/>
        <v>46</v>
      </c>
      <c r="R19" s="134">
        <f t="shared" si="18"/>
        <v>2285</v>
      </c>
      <c r="S19" s="134">
        <f t="shared" si="18"/>
        <v>2981</v>
      </c>
      <c r="T19" s="134">
        <f t="shared" si="18"/>
        <v>1555</v>
      </c>
      <c r="U19" s="134">
        <f t="shared" si="18"/>
        <v>1262</v>
      </c>
      <c r="V19" s="134">
        <f t="shared" si="18"/>
        <v>3274</v>
      </c>
      <c r="W19" s="134">
        <f t="shared" si="18"/>
        <v>126</v>
      </c>
      <c r="X19" s="134">
        <f t="shared" si="18"/>
        <v>928</v>
      </c>
      <c r="Y19" s="134">
        <f t="shared" si="18"/>
        <v>63</v>
      </c>
      <c r="Z19" s="134">
        <f t="shared" si="18"/>
        <v>149</v>
      </c>
      <c r="AA19" s="134">
        <f t="shared" si="18"/>
        <v>130</v>
      </c>
      <c r="AB19" s="134">
        <f t="shared" si="18"/>
        <v>82</v>
      </c>
      <c r="AC19" s="134">
        <f t="shared" si="18"/>
        <v>0</v>
      </c>
      <c r="AD19" s="134">
        <f t="shared" si="18"/>
        <v>1</v>
      </c>
      <c r="AE19" s="134">
        <f t="shared" si="18"/>
        <v>1</v>
      </c>
      <c r="AF19" s="134">
        <f t="shared" si="18"/>
        <v>0</v>
      </c>
      <c r="AG19" s="134">
        <f t="shared" si="18"/>
        <v>81</v>
      </c>
      <c r="AH19" s="134">
        <f t="shared" si="18"/>
        <v>143</v>
      </c>
      <c r="AI19" s="134">
        <f t="shared" si="18"/>
        <v>148</v>
      </c>
      <c r="AJ19" s="134">
        <f t="shared" si="18"/>
        <v>76</v>
      </c>
      <c r="AK19" s="134">
        <f t="shared" si="18"/>
        <v>0</v>
      </c>
      <c r="AL19" s="134">
        <f t="shared" si="18"/>
        <v>3</v>
      </c>
      <c r="AM19" s="134">
        <f t="shared" si="18"/>
        <v>3</v>
      </c>
      <c r="AN19" s="210">
        <f t="shared" si="18"/>
        <v>0</v>
      </c>
      <c r="AO19" s="211">
        <v>4</v>
      </c>
      <c r="AP19" s="211">
        <v>3</v>
      </c>
      <c r="AQ19" s="211">
        <v>3</v>
      </c>
      <c r="AR19" s="211">
        <v>3</v>
      </c>
      <c r="AS19" s="153">
        <f t="shared" si="18"/>
        <v>0</v>
      </c>
      <c r="AT19" s="153">
        <f t="shared" si="18"/>
        <v>0</v>
      </c>
      <c r="AU19" s="211"/>
      <c r="AV19" s="212"/>
      <c r="AW19" s="211"/>
      <c r="AX19" s="212"/>
      <c r="AY19" s="133">
        <f>SUBTOTAL(9,AY9:AY18)</f>
        <v>3062</v>
      </c>
      <c r="AZ19" s="134">
        <f>SUBTOTAL(9,AZ9:AZ18)</f>
        <v>1698</v>
      </c>
      <c r="BA19" s="134">
        <f>SUBTOTAL(9,BA9:BA18)</f>
        <v>1410</v>
      </c>
      <c r="BB19" s="134">
        <f>SUBTOTAL(9,BB9:BB18)</f>
        <v>3350</v>
      </c>
      <c r="BC19" s="135">
        <f>SUBTOTAL(9,BC9:BC18)</f>
        <v>390</v>
      </c>
      <c r="BD19" s="213">
        <f>IF(ISNUMBER(BA19/AZ19),BA19/AZ19," - ")</f>
        <v>0.83038869257950532</v>
      </c>
      <c r="BE19" s="210">
        <f>IF(ISNUMBER(BB19/BA19),BB19/BA19, " - ")</f>
        <v>2.375886524822695</v>
      </c>
      <c r="BF19" s="210">
        <f>IF(ISNUMBER(BC19/BA19),BC19/BA19, " - ")</f>
        <v>0.27659574468085107</v>
      </c>
      <c r="BG19" s="135">
        <f>IF(ISNUMBER((AY19+AZ19)/BA19),(AY19+AZ19)/BA19," - ")</f>
        <v>3.375886524822695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BGXawihfZj7oUU1KsFLvzOKzOcMPJjQCuHkPvzjenBTYI9eVxE7f0F0yu5aZBZIXe0XOwCz5SVpCc/3jkcvYA==" saltValue="XGnd9kClzTSM5wawOI2W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VOLlZOvmG4Q28p6LyAEX9zg/Mdj1nBOJYJ7qkg6s7lFW4n9YvEtRivuPonAXhjiTdjxcoqhPDAczGdA8G9IDw==" saltValue="K7rwCdCQ3tZgSB3C14I4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33</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7.3333333333333321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149</v>
      </c>
      <c r="O12" s="334"/>
      <c r="P12" s="334"/>
      <c r="Q12" s="226">
        <f>IF(ISNUMBER(Datos!P12),Datos!P12,0)</f>
        <v>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2183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317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0.78064516129032258</v>
      </c>
      <c r="BH12" s="260">
        <f>IF(ISNUMBER(((IF(J_V="SI",Datos!L12/Datos!K12,(Datos!L12+Datos!AB12)/(Datos!K12+Datos!AA12)))*11)/factor_trimestre),((IF(J_V="SI",Datos!L12/Datos!K12,(Datos!L12+Datos!AB12)/(Datos!K12+Datos!AA12)))*11)/factor_trimestre," - ")</f>
        <v>6.9289256198347111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1.9140989729225025E-2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149</v>
      </c>
      <c r="O13" s="900">
        <f t="shared" si="0"/>
        <v>0</v>
      </c>
      <c r="P13" s="900">
        <f t="shared" si="0"/>
        <v>0</v>
      </c>
      <c r="Q13" s="899">
        <f t="shared" si="0"/>
        <v>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41</v>
      </c>
      <c r="AD13" s="899">
        <f t="shared" si="1"/>
        <v>0</v>
      </c>
      <c r="AE13" s="899">
        <f t="shared" si="1"/>
        <v>0</v>
      </c>
      <c r="AF13" s="899">
        <f t="shared" si="1"/>
        <v>33</v>
      </c>
      <c r="AG13" s="899">
        <f t="shared" si="1"/>
        <v>0</v>
      </c>
      <c r="AH13" s="899">
        <f t="shared" si="1"/>
        <v>82</v>
      </c>
      <c r="AI13" s="899">
        <f t="shared" si="1"/>
        <v>0</v>
      </c>
      <c r="AJ13" s="899">
        <f t="shared" si="1"/>
        <v>0</v>
      </c>
      <c r="AK13" s="899">
        <f t="shared" si="1"/>
        <v>0</v>
      </c>
      <c r="AL13" s="899">
        <f t="shared" si="1"/>
        <v>0</v>
      </c>
      <c r="AM13" s="899">
        <f t="shared" si="1"/>
        <v>2191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v>
      </c>
      <c r="BD13" s="899">
        <f t="shared" si="1"/>
        <v>319</v>
      </c>
      <c r="BE13" s="899">
        <f t="shared" si="1"/>
        <v>0</v>
      </c>
      <c r="BF13" s="899">
        <f t="shared" si="1"/>
        <v>0</v>
      </c>
      <c r="BG13" s="899">
        <f>IF(ISNUMBER(Datos!K13/Datos!J13),Datos!K13/Datos!J13," - ")</f>
        <v>0.75507020280811232</v>
      </c>
      <c r="BH13" s="903">
        <f>IF(ISNUMBER(((Datos!L13/Datos!K13)*11)/factor_trimestre),((Datos!L13/Datos!K13)*11)/factor_trimestre," - ")</f>
        <v>8.4586776859504127</v>
      </c>
      <c r="BI13" s="899">
        <f>IF(ISNUMBER('Resol  Asuntos'!D13/NºAsuntos!G13),'Resol  Asuntos'!D13/NºAsuntos!G13," - ")</f>
        <v>0.1254071661237785</v>
      </c>
      <c r="BJ13" s="899" t="str">
        <f>IF(ISNUMBER(Datos!CI13/Datos!CJ13),Datos!CI13/Datos!CJ13," - ")</f>
        <v xml:space="preserve"> - </v>
      </c>
      <c r="BK13" s="899">
        <f>SUBTOTAL(9,BK8:BK12)</f>
        <v>0</v>
      </c>
      <c r="BL13" s="899">
        <f>IF(ISNUMBER((I13-AB13+L13)/(F13)),(I13-AB13+L13)/(F13)," - ")</f>
        <v>-0.33333333333333331</v>
      </c>
      <c r="BM13" s="904">
        <f>SUBTOTAL(9,BM9:BM12)</f>
        <v>1.9140989729225025E-2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1070</v>
      </c>
      <c r="G16" s="598">
        <f>IF(ISNUMBER(IF(D_I="SI",Datos!I16,Datos!I16+Datos!AC16)),IF(D_I="SI",Datos!I16,Datos!I16+Datos!AC16)," - ")</f>
        <v>1070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868</v>
      </c>
      <c r="AC16" s="226">
        <f>IF(ISNUMBER(Datos!Q16),Datos!Q16," - ")</f>
        <v>5</v>
      </c>
      <c r="AD16" s="334"/>
      <c r="AE16" s="484"/>
      <c r="AF16" s="596">
        <f>IF(ISNUMBER(IF(D_I="SI",Datos!L16,Datos!L16+Datos!AF16)),IF(D_I="SI",Datos!L16,Datos!L16+Datos!AF16)," - ")</f>
        <v>1111</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88</v>
      </c>
      <c r="BD16" s="229">
        <f>IF(ISNUMBER(Datos!N16),Datos!N16," - ")</f>
        <v>676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0.95489548954895487</v>
      </c>
      <c r="BH16" s="260">
        <f>IF(ISNUMBER(((IF(D_I="SI",Datos!L16/Datos!K16,(Datos!L16+Datos!AF16)/(Datos!K16+Datos!AE16)))*11)/factor_trimestre),((IF(D_I="SI",Datos!L16/Datos!K16,(Datos!L16+Datos!AF16)/(Datos!K16+Datos!AE16)))*11)/factor_trimestre," - ")</f>
        <v>2.5599078341013826</v>
      </c>
      <c r="BI16" s="243">
        <f>IF(ISNUMBER('Resol  Asuntos'!D16/NºAsuntos!G16),'Resol  Asuntos'!D16/NºAsuntos!G16," - ")</f>
        <v>0.10138248847926268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0</v>
      </c>
      <c r="AD17" s="334"/>
      <c r="AE17" s="484"/>
      <c r="AF17" s="332">
        <f>IF(ISNUMBER(Datos!L17),Datos!L17,"-")</f>
        <v>165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1.1372549019607843</v>
      </c>
      <c r="BH17" s="260">
        <f>IF(ISNUMBER(((IF(D_I="SI",Datos!L17/Datos!K17,(Datos!L17+Datos!AF17)/(Datos!K17+Datos!AE17)))*11)/factor_trimestre),((IF(D_I="SI",Datos!L17/Datos!K17,(Datos!L17+Datos!AF17)/(Datos!K17+Datos!AE17)))*11)/factor_trimestre," - ")</f>
        <v>5.6896551724137927</v>
      </c>
      <c r="BI17" s="243">
        <f>IF(ISNUMBER('Resol  Asuntos'!D17/NºAsuntos!G17),'Resol  Asuntos'!D17/NºAsuntos!G17," - ")</f>
        <v>6.8965517241379309E-2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1070</v>
      </c>
      <c r="G18" s="898">
        <f>SUBTOTAL(9,G15:G17)</f>
        <v>1242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926</v>
      </c>
      <c r="AC18" s="899">
        <f t="shared" si="4"/>
        <v>5</v>
      </c>
      <c r="AD18" s="899">
        <f t="shared" si="4"/>
        <v>0</v>
      </c>
      <c r="AE18" s="899">
        <f t="shared" si="4"/>
        <v>0</v>
      </c>
      <c r="AF18" s="899">
        <f t="shared" si="4"/>
        <v>1276</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725</v>
      </c>
      <c r="BE18" s="899">
        <f t="shared" si="4"/>
        <v>0</v>
      </c>
      <c r="BF18" s="899">
        <f t="shared" si="4"/>
        <v>0</v>
      </c>
      <c r="BG18" s="899">
        <f>IF(ISNUMBER(Datos!K18/Datos!J18),Datos!K18/Datos!J18," - ")</f>
        <v>0.96458333333333335</v>
      </c>
      <c r="BH18" s="903">
        <f>IF(ISNUMBER(((Datos!L18/Datos!K18)*11)/factor_trimestre),((Datos!L18/Datos!K18)*11)/factor_trimestre," - ")</f>
        <v>2.7559395248380127</v>
      </c>
      <c r="BI18" s="899">
        <f>SUBTOTAL(9,BI15:BI17)</f>
        <v>0.17034800572064199</v>
      </c>
      <c r="BJ18" s="899">
        <f>SUBTOTAL(9,BJ15:BJ17)</f>
        <v>0</v>
      </c>
      <c r="BK18" s="899">
        <f>SUBTOTAL(9,BK15:BK17)</f>
        <v>0</v>
      </c>
      <c r="BL18" s="899">
        <f>IF(ISNUMBER((I18-AB18+L18)/(F18)),(I18-AB18+L18)/(F18)," - ")</f>
        <v>-0.8654205607476636</v>
      </c>
      <c r="BM18" s="905">
        <f>IF(ISNUMBER((Datos!P18-Datos!Q18)/(Datos!R18-Datos!P18+Datos!Q18)),(Datos!P18-Datos!Q18)/(Datos!R18-Datos!P18+Datos!Q18)," - ")</f>
        <v>5.6179775280898875E-2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1097</v>
      </c>
      <c r="G19" s="820">
        <f t="shared" si="6"/>
        <v>1269</v>
      </c>
      <c r="H19" s="822">
        <f t="shared" si="6"/>
        <v>0</v>
      </c>
      <c r="I19" s="820">
        <f t="shared" si="6"/>
        <v>0</v>
      </c>
      <c r="J19" s="822">
        <f t="shared" si="6"/>
        <v>0</v>
      </c>
      <c r="K19" s="822">
        <f t="shared" si="6"/>
        <v>0</v>
      </c>
      <c r="L19" s="881">
        <f t="shared" si="6"/>
        <v>0</v>
      </c>
      <c r="M19" s="881">
        <f t="shared" si="6"/>
        <v>0</v>
      </c>
      <c r="N19" s="881">
        <f t="shared" si="6"/>
        <v>149</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935</v>
      </c>
      <c r="AC19" s="821">
        <f t="shared" si="7"/>
        <v>46</v>
      </c>
      <c r="AD19" s="821">
        <f t="shared" si="7"/>
        <v>0</v>
      </c>
      <c r="AE19" s="821">
        <f t="shared" si="7"/>
        <v>0</v>
      </c>
      <c r="AF19" s="828">
        <f t="shared" si="7"/>
        <v>1309</v>
      </c>
      <c r="AG19" s="828">
        <f t="shared" si="7"/>
        <v>0</v>
      </c>
      <c r="AH19" s="828">
        <f t="shared" si="7"/>
        <v>82</v>
      </c>
      <c r="AI19" s="828">
        <f t="shared" si="7"/>
        <v>0</v>
      </c>
      <c r="AJ19" s="821">
        <f t="shared" si="7"/>
        <v>0</v>
      </c>
      <c r="AK19" s="828">
        <f t="shared" si="7"/>
        <v>0</v>
      </c>
      <c r="AL19" s="828">
        <f t="shared" si="7"/>
        <v>0</v>
      </c>
      <c r="AM19" s="828">
        <f t="shared" si="7"/>
        <v>2285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169</v>
      </c>
      <c r="BD19" s="820">
        <f t="shared" si="7"/>
        <v>1044</v>
      </c>
      <c r="BE19" s="820">
        <f t="shared" si="7"/>
        <v>0</v>
      </c>
      <c r="BF19" s="830">
        <f t="shared" si="7"/>
        <v>0</v>
      </c>
      <c r="BG19" s="915">
        <f>IF(ISNUMBER(Datos!K19/Datos!J19),Datos!K19/Datos!J19," - ")</f>
        <v>0.88069956277326666</v>
      </c>
      <c r="BH19" s="915">
        <f>IF(ISNUMBER(((Datos!L19/Datos!K19)*11)/factor_trimestre),((Datos!L19/Datos!K19)*11)/factor_trimestre," - ")</f>
        <v>4.7134751773049643</v>
      </c>
      <c r="BI19" s="813">
        <f>IF(ISNUMBER(Datos!J19/Datos!I19),Datos!J19/Datos!I19," - ")</f>
        <v>0.51117496807151974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-0.85232452142206017</v>
      </c>
      <c r="BM19" s="889">
        <f>IF(ISNUMBER((Datos!P19-Datos!Q19+R19)/(Datos!R19-Datos!P19+Datos!Q19-R19)),(Datos!P19-Datos!Q19+R19)/(Datos!R19-Datos!P19+Datos!Q19-R19)," - ")</f>
        <v>2.0544886109870479E-2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602.17633076477966</v>
      </c>
      <c r="G21" s="552">
        <f>IF(ISNUMBER(STDEV(G8:G18)),STDEV(G8:G18),"-")</f>
        <v>597.95844337211258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478.29018388421895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41.812278898269419</v>
      </c>
      <c r="BD21" s="551"/>
      <c r="BE21" s="551">
        <f>IF(ISNUMBER(STDEV(BE8:BE18)),STDEV(BE8:BE18),"-")</f>
        <v>0</v>
      </c>
      <c r="BF21" s="556">
        <f>IF(ISNUMBER(STDEV(BF8:BF18)),STDEV(BF8:BF18),"-")</f>
        <v>0</v>
      </c>
      <c r="BG21" s="775">
        <f>IF(ISNUMBER(STDEV(BG8:BG18)),STDEV(BG8:BG18),"-")</f>
        <v>0.19054924319572164</v>
      </c>
      <c r="BH21" s="776">
        <f>IF(ISNUMBER(STDEV(BH8:BH18)),STDEV(BH8:BH18),"-")</f>
        <v>2.4608429367117566</v>
      </c>
      <c r="BI21" s="249">
        <f>IF(ISNUMBER(STDEV(BI8:BI18)),STDEV(BI8:BI18),"-")</f>
        <v>4.2688830985608828E-2</v>
      </c>
      <c r="BJ21" s="230" t="str">
        <f>IF(ISNUMBER(BL21/BM21),BL21/BM21," - ")</f>
        <v xml:space="preserve"> - </v>
      </c>
      <c r="BK21" s="575"/>
      <c r="BL21" s="559">
        <f>IF(ISNUMBER(STDEV(BL8:BL18)),STDEV(BL8:BL18),"-")</f>
        <v>0.37624248668742155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dYyXiX799KHDW8lqXkquJxvRwR/s1UisBr3yngWxsgIC4SwHopqr2T7vtHjFdrpXQy1cKXuKn4xbmHeWiCtMw==" saltValue="E36G41JtDlZYsxoSdEne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ESPLUGUES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33</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7.3333333333333321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2183</v>
      </c>
      <c r="AF12" s="229" t="str">
        <f>IF(ISNUMBER(Datos!BV12),Datos!BV12," - ")</f>
        <v xml:space="preserve"> - </v>
      </c>
      <c r="AG12" s="225" t="str">
        <f>IF(ISNUMBER(Datos!DV12),Datos!DV12," - ")</f>
        <v xml:space="preserve"> - </v>
      </c>
      <c r="AH12" s="298"/>
      <c r="AI12" s="227"/>
      <c r="AJ12" s="225">
        <f>IF(ISNUMBER(Datos!M12),Datos!M12," - ")</f>
        <v>75</v>
      </c>
      <c r="AK12" s="229">
        <f>IF(ISNUMBER(Datos!N12),Datos!N12," - ")</f>
        <v>317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6.9289256198347111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1.9140989729225025E-2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41</v>
      </c>
      <c r="AA13" s="900">
        <f t="shared" si="2"/>
        <v>33</v>
      </c>
      <c r="AB13" s="900">
        <f t="shared" si="2"/>
        <v>0</v>
      </c>
      <c r="AC13" s="900">
        <f t="shared" si="2"/>
        <v>0</v>
      </c>
      <c r="AD13" s="900">
        <f t="shared" si="2"/>
        <v>0</v>
      </c>
      <c r="AE13" s="900">
        <f t="shared" si="2"/>
        <v>2191</v>
      </c>
      <c r="AF13" s="908">
        <f t="shared" si="2"/>
        <v>0</v>
      </c>
      <c r="AG13" s="908">
        <f t="shared" si="2"/>
        <v>0</v>
      </c>
      <c r="AH13" s="908">
        <f t="shared" si="2"/>
        <v>0</v>
      </c>
      <c r="AI13" s="908">
        <f t="shared" si="2"/>
        <v>0</v>
      </c>
      <c r="AJ13" s="908">
        <f t="shared" si="2"/>
        <v>77</v>
      </c>
      <c r="AK13" s="908">
        <f t="shared" si="2"/>
        <v>319</v>
      </c>
      <c r="AL13" s="908">
        <f t="shared" si="2"/>
        <v>0</v>
      </c>
      <c r="AM13" s="908">
        <f t="shared" si="2"/>
        <v>0</v>
      </c>
      <c r="AN13" s="908">
        <f t="shared" si="2"/>
        <v>0</v>
      </c>
      <c r="AO13" s="904">
        <f>IF(ISNUMBER(((NºAsuntos!I13/NºAsuntos!G13)*11)/factor_trimestre),((NºAsuntos!I13/NºAsuntos!G13)*11)/factor_trimestre," - ")</f>
        <v>6.9348534201954388</v>
      </c>
      <c r="AP13" s="910" t="str">
        <f>IF(ISNUMBER(Datos!CI13/Datos!CJ13),Datos!CI13/Datos!CJ13," - ")</f>
        <v xml:space="preserve"> - </v>
      </c>
      <c r="AQ13" s="928">
        <f t="shared" ref="AQ13:AV13" si="3">SUBTOTAL(9,AQ9:AQ12)</f>
        <v>0</v>
      </c>
      <c r="AR13" s="928">
        <f t="shared" si="3"/>
        <v>1.9140989729225025E-2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1070</v>
      </c>
      <c r="G16" s="225">
        <f>IF(ISNUMBER(IF(D_I="SI",Datos!I16,Datos!I16+Datos!AC16)),IF(D_I="SI",Datos!I16,Datos!I16+Datos!AC16)," - ")</f>
        <v>1070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868</v>
      </c>
      <c r="Z16" s="619">
        <f>IF(ISNUMBER(Datos!Q16),Datos!Q16," - ")</f>
        <v>5</v>
      </c>
      <c r="AA16" s="332">
        <f>IF(ISNUMBER(IF(D_I="SI",Datos!L16,Datos!L16+Datos!AF16)),IF(D_I="SI",Datos!L16,Datos!L16+Datos!AF16)," - ")</f>
        <v>1111</v>
      </c>
      <c r="AB16" s="334"/>
      <c r="AC16" s="334"/>
      <c r="AD16" s="484"/>
      <c r="AE16" s="484">
        <f>IF(ISNUMBER(Datos!R16),Datos!R16," - ")</f>
        <v>93</v>
      </c>
      <c r="AF16" s="229" t="str">
        <f>IF(ISNUMBER(Datos!BV16),Datos!BV16," - ")</f>
        <v xml:space="preserve"> - </v>
      </c>
      <c r="AG16" s="225"/>
      <c r="AH16" s="298"/>
      <c r="AI16" s="227"/>
      <c r="AJ16" s="225">
        <f>IF(ISNUMBER(Datos!M16),Datos!M16," - ")</f>
        <v>88</v>
      </c>
      <c r="AK16" s="229">
        <f>IF(ISNUMBER(Datos!N16),Datos!N16," - ")</f>
        <v>676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2.5599078341013826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0</v>
      </c>
      <c r="AA17" s="332">
        <f>IF(ISNUMBER(Datos!L17),Datos!L17,"-")</f>
        <v>165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5.6896551724137927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1070</v>
      </c>
      <c r="G18" s="898">
        <f>SUBTOTAL(9,G15:G17)</f>
        <v>1242</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926</v>
      </c>
      <c r="Z18" s="932">
        <f t="shared" si="5"/>
        <v>5</v>
      </c>
      <c r="AA18" s="932">
        <f t="shared" si="5"/>
        <v>1276</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92</v>
      </c>
      <c r="AK18" s="932">
        <f t="shared" si="5"/>
        <v>725</v>
      </c>
      <c r="AL18" s="932">
        <f t="shared" si="5"/>
        <v>0</v>
      </c>
      <c r="AM18" s="932">
        <f t="shared" si="5"/>
        <v>0</v>
      </c>
      <c r="AN18" s="932">
        <f t="shared" si="5"/>
        <v>0</v>
      </c>
      <c r="AO18" s="934">
        <f>IF(ISNUMBER(((NºAsuntos!I18/NºAsuntos!G18)*11)/factor_trimestre),((NºAsuntos!I18/NºAsuntos!G18)*11)/factor_trimestre," - ")</f>
        <v>2.7559395248380127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1097</v>
      </c>
      <c r="G19" s="820">
        <f t="shared" si="7"/>
        <v>1269</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935</v>
      </c>
      <c r="Z19" s="827">
        <f t="shared" si="8"/>
        <v>46</v>
      </c>
      <c r="AA19" s="828">
        <f t="shared" si="8"/>
        <v>1309</v>
      </c>
      <c r="AB19" s="828">
        <f t="shared" si="8"/>
        <v>0</v>
      </c>
      <c r="AC19" s="828">
        <f t="shared" si="8"/>
        <v>0</v>
      </c>
      <c r="AD19" s="829">
        <f t="shared" si="8"/>
        <v>0</v>
      </c>
      <c r="AE19" s="829">
        <f t="shared" si="8"/>
        <v>2285</v>
      </c>
      <c r="AF19" s="830">
        <f t="shared" si="8"/>
        <v>0</v>
      </c>
      <c r="AG19" s="831">
        <f t="shared" si="8"/>
        <v>0</v>
      </c>
      <c r="AH19" s="832">
        <f t="shared" si="8"/>
        <v>0</v>
      </c>
      <c r="AI19" s="830">
        <f t="shared" si="8"/>
        <v>0</v>
      </c>
      <c r="AJ19" s="820">
        <f t="shared" si="8"/>
        <v>169</v>
      </c>
      <c r="AK19" s="820">
        <f t="shared" si="8"/>
        <v>1044</v>
      </c>
      <c r="AL19" s="820">
        <f t="shared" si="8"/>
        <v>0</v>
      </c>
      <c r="AM19" s="833">
        <f t="shared" si="8"/>
        <v>0</v>
      </c>
      <c r="AN19" s="823">
        <f>IF(ISNUMBER(Datos!K19/Datos!J19),Datos!K19/Datos!J19," - ")</f>
        <v>0.88069956277326666</v>
      </c>
      <c r="AO19" s="823">
        <f>IF(ISNUMBER(FIND("06",Criterios!A8,1)),(IF(ISNUMBER(((Datos!R19/Datos!Q19)*11)/factor_trimestre),((Datos!R19/Datos!Q19)*11)/factor_trimestre," - ")),(IF(ISNUMBER(((Datos!L19/Datos!K19)*11)/factor_trimestre),((Datos!L19/Datos!K19)*11)/factor_trimestre," - ")))</f>
        <v>4.7134751773049643</v>
      </c>
      <c r="AP19" s="834" t="str">
        <f>IF(ISNUMBER(Datos!CI19/Datos!CJ19),Datos!CI19/Datos!CJ19," - ")</f>
        <v xml:space="preserve"> - </v>
      </c>
      <c r="AQ19" s="834">
        <f>IF(OR(ISNUMBER(FIND("01",Criterios!A8,1)),ISNUMBER(FIND("02",Criterios!A8,1)),ISNUMBER(FIND("03",Criterios!A8,1)),ISNUMBER(FIND("04",Criterios!A8,1))),(J19-Y19+K19)/(F19-K19),(I19-Y19+K19)/(F19-K19))</f>
        <v>-0.85232452142206017</v>
      </c>
      <c r="AR19" s="834">
        <f>IF(ISNUMBER((Datos!P19-Datos!Q19+O19)/(Datos!R19-Datos!P19+Datos!Q19-O19)),(Datos!P19-Datos!Q19+O19)/(Datos!R19-Datos!P19+Datos!Q19-O19)," - ")</f>
        <v>2.0544886109870479E-2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602.17633076477966</v>
      </c>
      <c r="G21" s="552">
        <f>IF(ISNUMBER(STDEV(G8:G18)),STDEV(G8:G18),"-")</f>
        <v>597.95844337211258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41.812278898269419</v>
      </c>
      <c r="AK21" s="252"/>
      <c r="AL21" s="252">
        <f>IF(ISNUMBER(STDEV(AL8:AL18)),STDEV(AL8:AL18),"-")</f>
        <v>0</v>
      </c>
      <c r="AM21" s="254">
        <f>IF(ISNUMBER(STDEV(AM8:AM18)),STDEV(AM8:AM18),"-")</f>
        <v>0</v>
      </c>
      <c r="AN21" s="539">
        <f>IF(ISNUMBER(STDEV(AN8:AN18)),STDEV(AN8:AN18),"-")</f>
        <v>0</v>
      </c>
      <c r="AO21" s="540">
        <f>IF(ISNUMBER(STDEV(AO8:AO18)),STDEV(AO8:AO18),"-")</f>
        <v>2.1709791476180627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20j2RfADo/lQkYkMQO6frgirDibT/zvHaIA7gnpYAiUVEsHJrqi7oIB7KYfpR7ZUBiuoKEUqs/faSowtPEKfw==" saltValue="K0yw6sKUognr9GSWHA3w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FhJOQnwyFZI+r/OpUKAShd5LWrjcCt3nBJ9p/EWXnqeGjO7mfKfUuMBJqT2DMjNfdRnPaGQrhXy5q0B6hNB6Q==" saltValue="wAR0cX/XKPNj+I9qh5ek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ANZiCMY9kHLI1cA79XiDwyMrr/QmcIRmV/1CVm7Hr7gApOdihuIXLXMdbiDzecWVgx7OYENpUtc+XdTpASPBA==" saltValue="c21r/NJ1ZbgDBSliqaff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0.1254071661237785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8.8676257575511661E-2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6gCnerqYJSwOp/h78MaM9xQZm66liJMfMJjzA3ZQfVeOaSBNw42GtoOSKdMKCs++Q0fgCj12jzy3sAIOIBgaOg==" saltValue="dWLvJNjWpf4yFh6ydCHv2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vtYVUJXLyxU5N1YnABBfUo0gpfPRpdqkcZve7xVaV580fUmjTUqOCNNekIHwXhdllPxpwaWxUNZsUo7r0GDoQ==" saltValue="8YbO3R76xMfEglIbZR3H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ESPLUGUES DE LLOBREGAT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15</v>
      </c>
      <c r="F10" s="404">
        <f>IF(ISNUMBER(E10/B10),E10/B10," - ")</f>
        <v>15</v>
      </c>
      <c r="G10" s="403">
        <f>IF(ISNUMBER(Datos!K10),Datos!K10," - ")</f>
        <v>9</v>
      </c>
      <c r="H10" s="404">
        <f>IF(ISNUMBER(G10/B10),G10/B10," - ")</f>
        <v>9</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1926</v>
      </c>
      <c r="D12" s="404">
        <f>IF(ISNUMBER(C12/Datos!BH12),C12/Datos!BH12," - ")</f>
        <v>642</v>
      </c>
      <c r="E12" s="403">
        <f>IF(ISNUMBER(IF(J_V="SI",Datos!J12,Datos!J12+Datos!Z12)),IF(J_V="SI",Datos!J12,Datos!J12+Datos!Z12)," - ")</f>
        <v>775</v>
      </c>
      <c r="F12" s="404">
        <f>IF(ISNUMBER(E12/B12),E12/B12," - ")</f>
        <v>258.33333333333331</v>
      </c>
      <c r="G12" s="403">
        <f>IF(ISNUMBER(IF(J_V="SI",Datos!K12,Datos!K12+Datos!AA12)),IF(J_V="SI",Datos!K12,Datos!K12+Datos!AA12)," - ")</f>
        <v>605</v>
      </c>
      <c r="H12" s="404">
        <f>IF(ISNUMBER(G12/B12),G12/B12," - ")</f>
        <v>201.66666666666666</v>
      </c>
      <c r="I12" s="403">
        <f>IF(ISNUMBER(IF(J_V="SI",Datos!L12,Datos!L12+Datos!AB12)),IF(J_V="SI",Datos!L12,Datos!L12+Datos!AB12)," - ")</f>
        <v>2096</v>
      </c>
      <c r="J12" s="404">
        <f>IF(ISNUMBER(I12/B12),I12/B12," - ")</f>
        <v>698.66666666666663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1953</v>
      </c>
      <c r="D13" s="850" t="str">
        <f>IF(ISNUMBER(C13/Datos!BI13),C13/Datos!BI13," - ")</f>
        <v xml:space="preserve"> - </v>
      </c>
      <c r="E13" s="849">
        <f>SUBTOTAL(9,E8:E12)</f>
        <v>790</v>
      </c>
      <c r="F13" s="850">
        <f>IF(ISNUMBER(E13/B13),E13/B13," - ")</f>
        <v>263.33333333333331</v>
      </c>
      <c r="G13" s="849">
        <f>SUBTOTAL(9,G8:G12)</f>
        <v>614</v>
      </c>
      <c r="H13" s="850">
        <f>IF(ISNUMBER(G13/B13),G13/B13," - ")</f>
        <v>204.66666666666666</v>
      </c>
      <c r="I13" s="849">
        <f>SUBTOTAL(9,I8:I12)</f>
        <v>2129</v>
      </c>
      <c r="J13" s="850">
        <f>IF(ISNUMBER(I13/B13),I13/B13," - ")</f>
        <v>709.66666666666663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1070</v>
      </c>
      <c r="D16" s="404">
        <f>IF(ISNUMBER(C16/Datos!BH16),C16/Datos!BH16," - ")</f>
        <v>356.66666666666669</v>
      </c>
      <c r="E16" s="403">
        <f>IF(ISNUMBER(IF(D_I="SI",Datos!J16,Datos!J16+Datos!AD16)),IF(D_I="SI",Datos!J16,Datos!J16+Datos!AD16)," - ")</f>
        <v>909</v>
      </c>
      <c r="F16" s="404">
        <f>IF(ISNUMBER(E16/B16),E16/B16," - ")</f>
        <v>303</v>
      </c>
      <c r="G16" s="403">
        <f>IF(ISNUMBER(IF(D_I="SI",Datos!K16,Datos!K16+Datos!AE16)),IF(D_I="SI",Datos!K16,Datos!K16+Datos!AE16)," - ")</f>
        <v>868</v>
      </c>
      <c r="H16" s="404">
        <f>IF(ISNUMBER(G16/B16),G16/B16," - ")</f>
        <v>289.33333333333331</v>
      </c>
      <c r="I16" s="403">
        <f>IF(ISNUMBER(IF(D_I="SI",Datos!L16,Datos!L16+Datos!AF16)),IF(D_I="SI",Datos!L16,Datos!L16+Datos!AF16)," - ")</f>
        <v>1111</v>
      </c>
      <c r="J16" s="404">
        <f>IF(ISNUMBER(I16/B16),I16/B16," - ")</f>
        <v>370.33333333333331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172</v>
      </c>
      <c r="D17" s="404">
        <f>IF(ISNUMBER(C17/Datos!BH17),C17/Datos!BH17," - ")</f>
        <v>172</v>
      </c>
      <c r="E17" s="403">
        <f>IF(ISNUMBER(IF(D_I="SI",Datos!J17,Datos!J17+Datos!AD17)),IF(D_I="SI",Datos!J17,Datos!J17+Datos!AD17)," - ")</f>
        <v>51</v>
      </c>
      <c r="F17" s="404">
        <f>IF(ISNUMBER(E17/B17),E17/B17," - ")</f>
        <v>51</v>
      </c>
      <c r="G17" s="403">
        <f>IF(ISNUMBER(IF(D_I="SI",Datos!K17,Datos!K17+Datos!AE17)),IF(D_I="SI",Datos!K17,Datos!K17+Datos!AE17)," - ")</f>
        <v>58</v>
      </c>
      <c r="H17" s="404">
        <f>IF(ISNUMBER(G17/B17),G17/B17," - ")</f>
        <v>58</v>
      </c>
      <c r="I17" s="403">
        <f>IF(ISNUMBER(IF(D_I="SI",Datos!L17,Datos!L17+Datos!AF17)),IF(D_I="SI",Datos!L17,Datos!L17+Datos!AF17)," - ")</f>
        <v>165</v>
      </c>
      <c r="J17" s="404">
        <f>IF(ISNUMBER(I17/B17),I17/B17," - ")</f>
        <v>165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1242</v>
      </c>
      <c r="D18" s="850" t="str">
        <f>IF(ISNUMBER(C18/Datos!BI18),C18/Datos!BI18," - ")</f>
        <v xml:space="preserve"> - </v>
      </c>
      <c r="E18" s="849">
        <f>SUBTOTAL(9,E14:E17)</f>
        <v>960</v>
      </c>
      <c r="F18" s="850">
        <f>IF(ISNUMBER(E18/B18),E18/B18," - ")</f>
        <v>320</v>
      </c>
      <c r="G18" s="849">
        <f>SUBTOTAL(9,G14:G17)</f>
        <v>926</v>
      </c>
      <c r="H18" s="850">
        <f>IF(ISNUMBER(G18/B18),G18/B18," - ")</f>
        <v>308.66666666666669</v>
      </c>
      <c r="I18" s="849">
        <f>SUBTOTAL(9,I14:I17)</f>
        <v>1276</v>
      </c>
      <c r="J18" s="850">
        <f>IF(ISNUMBER(I18/B18),I18/B18," - ")</f>
        <v>425.33333333333331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3195</v>
      </c>
      <c r="D19" s="795" t="str">
        <f>IF(ISNUMBER(C19/Datos!BI19),C19/Datos!BI19," - ")</f>
        <v xml:space="preserve"> - </v>
      </c>
      <c r="E19" s="794">
        <f>SUBTOTAL(9,E9:E18)</f>
        <v>1750</v>
      </c>
      <c r="F19" s="795">
        <f>IF(ISNUMBER(E19/B19),E19/B19," - ")</f>
        <v>583.33333333333337</v>
      </c>
      <c r="G19" s="794">
        <f>SUBTOTAL(9,G9:G18)</f>
        <v>1540</v>
      </c>
      <c r="H19" s="795">
        <f>IF(ISNUMBER(G19/B19),G19/B19," - ")</f>
        <v>513.33333333333337</v>
      </c>
      <c r="I19" s="794">
        <f>SUBTOTAL(9,I9:I18)</f>
        <v>3405</v>
      </c>
      <c r="J19" s="795">
        <f>IF(ISNUMBER(I19/B19),I19/B19," - ")</f>
        <v>1135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MHfaZvhSEkY2JJ1h5MZ/YIC325nNHigmAF9mvUAk12SJwLL414zYltjwdhMHY6PCWKAQuDFEgadHq2GEe9fUw==" saltValue="ThbgihDgYeuBEbBOXGgu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7.3333333333333321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317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6.9289256198347111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1.9140989729225025E-2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41</v>
      </c>
      <c r="AE13" s="939">
        <f t="shared" si="1"/>
        <v>0</v>
      </c>
      <c r="AF13" s="939">
        <f t="shared" si="1"/>
        <v>33</v>
      </c>
      <c r="AG13" s="939">
        <f t="shared" si="1"/>
        <v>0</v>
      </c>
      <c r="AH13" s="939">
        <f t="shared" si="1"/>
        <v>2183</v>
      </c>
      <c r="AI13" s="939">
        <f t="shared" si="1"/>
        <v>0</v>
      </c>
      <c r="AJ13" s="939">
        <f t="shared" si="1"/>
        <v>0</v>
      </c>
      <c r="AK13" s="939">
        <f t="shared" si="1"/>
        <v>0</v>
      </c>
      <c r="AL13" s="939">
        <f t="shared" si="1"/>
        <v>77</v>
      </c>
      <c r="AM13" s="939">
        <f t="shared" si="1"/>
        <v>319</v>
      </c>
      <c r="AN13" s="939">
        <f t="shared" si="1"/>
        <v>0</v>
      </c>
      <c r="AO13" s="939">
        <f t="shared" si="1"/>
        <v>0</v>
      </c>
      <c r="AP13" s="944">
        <f>IF(ISNUMBER(((Datos!L13/Datos!K13)*11)/factor_trimestre),((Datos!L13/Datos!K13)*11)/factor_trimestre," - ")</f>
        <v>8.4586776859504127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1.9140989729225025E-2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2.7559395248380127</v>
      </c>
      <c r="AQ18" s="944">
        <f>IF(ISNUMBER(((Datos!M18/Datos!L18)*11)/factor_trimestre),((Datos!M18/Datos!L18)*11)/factor_trimestre," - ")</f>
        <v>0.14420062695924765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5.6179775280898875E-2</v>
      </c>
      <c r="AW18" s="946">
        <f>IF(ISNUMBER((Datos!Q18-Datos!R18)/(Datos!S18-Datos!Q18+Datos!R18)),(Datos!Q18-Datos!R18)/(Datos!S18-Datos!Q18+Datos!R18)," - ")</f>
        <v>-6.4539521392313268E-2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41</v>
      </c>
      <c r="AE19" s="957">
        <f t="shared" si="5"/>
        <v>0</v>
      </c>
      <c r="AF19" s="958">
        <f t="shared" si="5"/>
        <v>33</v>
      </c>
      <c r="AG19" s="958">
        <f t="shared" si="5"/>
        <v>0</v>
      </c>
      <c r="AH19" s="958">
        <f t="shared" si="5"/>
        <v>2183</v>
      </c>
      <c r="AI19" s="958">
        <f t="shared" si="5"/>
        <v>0</v>
      </c>
      <c r="AJ19" s="959">
        <f t="shared" si="5"/>
        <v>0</v>
      </c>
      <c r="AK19" s="959">
        <f t="shared" si="5"/>
        <v>0</v>
      </c>
      <c r="AL19" s="951">
        <f t="shared" si="5"/>
        <v>77</v>
      </c>
      <c r="AM19" s="951">
        <f t="shared" si="5"/>
        <v>319</v>
      </c>
      <c r="AN19" s="951">
        <f t="shared" si="5"/>
        <v>0</v>
      </c>
      <c r="AO19" s="951">
        <f t="shared" si="5"/>
        <v>0</v>
      </c>
      <c r="AP19" s="951">
        <f>IF(ISNUMBER(((Datos!L19/Datos!K19)*11)/factor_trimestre),((Datos!L19/Datos!K19)*11)/factor_trimestre," - ")</f>
        <v>4.7134751773049643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2.0544886109870479E-2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43.316663460305129</v>
      </c>
      <c r="AM21" s="736"/>
      <c r="AN21" s="736">
        <f>IF(ISNUMBER(STDEV(AN8:AN18)),STDEV(AN8:AN18),"-")</f>
        <v>0</v>
      </c>
      <c r="AO21" s="742">
        <f>IF(ISNUMBER(STDEV(AO8:AO18)),STDEV(AO8:AO18),"-")</f>
        <v>0</v>
      </c>
      <c r="AP21" s="779">
        <f>IF(ISNUMBER(STDEV(AP8:AP18)),STDEV(AP8:AP18),"-")</f>
        <v>2.4942877482991723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OlTNcnNEgEty3XSUoJ2WB0g/K9mB73M+eWaFspRk5vrOswqc+yjTs1BCIZHQs5juOFCHjEkMPtkZZmFPVtRzw==" saltValue="ym9TxWEBx6YSgBuITzFb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ESPLUGUES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bGPu8tdFbzSAg1B31Z7Lp3oyrc05BhDMEHWesC3GmIN0VbmNzskg2vk2lC0G61xC9X717NTJ2N3KhmK7WqeUw==" saltValue="3cIUB4NyzaOsDuya8AvJ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ESPLUGUES DE LLOBREGAT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75</v>
      </c>
      <c r="E12" s="404">
        <f t="shared" si="0"/>
        <v>25</v>
      </c>
      <c r="F12" s="403">
        <f>IF(ISNUMBER(Datos!N12),Datos!N12," - ")</f>
        <v>317</v>
      </c>
      <c r="G12" s="404">
        <f t="shared" si="1"/>
        <v>105.66666666666667</v>
      </c>
      <c r="H12" s="403">
        <f>IF(ISNUMBER(Datos!O12),Datos!O12," - ")</f>
        <v>183</v>
      </c>
      <c r="I12" s="404">
        <f t="shared" si="2"/>
        <v>61</v>
      </c>
      <c r="BZ12" s="1186">
        <f>Datos!EZ12</f>
        <v>0</v>
      </c>
    </row>
    <row r="13" spans="1:78" ht="14.25" thickTop="1" thickBot="1">
      <c r="A13" s="848" t="str">
        <f>Datos!A13</f>
        <v>TOTAL</v>
      </c>
      <c r="B13" s="849">
        <f>Datos!AP13</f>
        <v>3</v>
      </c>
      <c r="C13" s="851">
        <f>Datos!AR13</f>
        <v>3</v>
      </c>
      <c r="D13" s="849">
        <f>SUBTOTAL(9,D9:D12)</f>
        <v>77</v>
      </c>
      <c r="E13" s="850">
        <f t="shared" si="0"/>
        <v>25.666666666666668</v>
      </c>
      <c r="F13" s="849">
        <f>SUBTOTAL(9,F9:F12)</f>
        <v>319</v>
      </c>
      <c r="G13" s="850">
        <f t="shared" si="1"/>
        <v>106.33333333333333</v>
      </c>
      <c r="H13" s="849">
        <f>SUBTOTAL(9,H9:H12)</f>
        <v>183</v>
      </c>
      <c r="I13" s="850">
        <f>IF(ISNUMBER(H13/B13),H13/B13," - ")</f>
        <v>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88</v>
      </c>
      <c r="E16" s="404">
        <f t="shared" si="3"/>
        <v>29.333333333333332</v>
      </c>
      <c r="F16" s="403">
        <f>IF(ISNUMBER(Datos!N16),Datos!N16," - ")</f>
        <v>676</v>
      </c>
      <c r="G16" s="404">
        <f t="shared" si="4"/>
        <v>225.33333333333334</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92</v>
      </c>
      <c r="E18" s="850">
        <f t="shared" si="3"/>
        <v>30.666666666666668</v>
      </c>
      <c r="F18" s="849">
        <f>SUBTOTAL(9,F15:F17)</f>
        <v>725</v>
      </c>
      <c r="G18" s="850">
        <f t="shared" si="4"/>
        <v>241.66666666666666</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169</v>
      </c>
      <c r="E19" s="795">
        <f>IF(ISNUMBER(D19/B19),D19/B19," - ")</f>
        <v>56.333333333333336</v>
      </c>
      <c r="F19" s="794">
        <f>SUBTOTAL(9,F8:F18)</f>
        <v>1044</v>
      </c>
      <c r="G19" s="795">
        <f>IF(ISNUMBER(F19/B19),F19/B19," - ")</f>
        <v>348</v>
      </c>
      <c r="H19" s="794">
        <f>SUBTOTAL(9,H8:H18)</f>
        <v>187</v>
      </c>
      <c r="I19" s="795">
        <f>IF(ISNUMBER(H19/B19),H19/B19," - ")</f>
        <v>62.333333333333336</v>
      </c>
    </row>
    <row r="22" spans="1:78">
      <c r="A22" s="391" t="str">
        <f>Criterios!A4</f>
        <v>Fecha Informe: 29 nov. 2024</v>
      </c>
    </row>
    <row r="27" spans="1:78">
      <c r="A27" s="414"/>
    </row>
  </sheetData>
  <sheetProtection algorithmName="SHA-512" hashValue="WHnSVov8F9UQgw3VcpX6gReprlX2hpVcztebfVdbZPLN2kfQT2ZLjLvnEyUflv/YOR+1IX8INVSr2cxtcULvqA==" saltValue="Ce5xrSRbGIEJ7RJ3/f/R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ESPLUGUES DE LLOBREGAT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82</v>
      </c>
      <c r="C12" s="434">
        <f>IF(ISNUMBER(Datos!Q12),Datos!Q12," - ")</f>
        <v>41</v>
      </c>
      <c r="D12" s="408">
        <f>IF(ISNUMBER(Datos!R12),Datos!R12," - ")</f>
        <v>2183</v>
      </c>
    </row>
    <row r="13" spans="1:4" ht="14.25" thickTop="1" thickBot="1">
      <c r="A13" s="848" t="str">
        <f>Datos!A13</f>
        <v>TOTAL</v>
      </c>
      <c r="B13" s="849">
        <f>SUBTOTAL(9,B9:B12)</f>
        <v>82</v>
      </c>
      <c r="C13" s="853">
        <f>SUBTOTAL(9,C9:C12)</f>
        <v>41</v>
      </c>
      <c r="D13" s="851">
        <f>SUBTOTAL(9,D9:D12)</f>
        <v>2191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5</v>
      </c>
      <c r="D16" s="408">
        <f>IF(ISNUMBER(Datos!R16),Datos!R16," - ")</f>
        <v>93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10</v>
      </c>
      <c r="C18" s="853">
        <f>SUBTOTAL(9,C15:C17)</f>
        <v>5</v>
      </c>
      <c r="D18" s="851">
        <f>SUBTOTAL(9,D15:D17)</f>
        <v>94</v>
      </c>
    </row>
    <row r="19" spans="1:4" ht="16.5" customHeight="1" thickTop="1" thickBot="1">
      <c r="A19" s="793" t="str">
        <f>Datos!A19</f>
        <v>TOTAL JURISDICCIONES</v>
      </c>
      <c r="B19" s="798">
        <f>SUBTOTAL(9,B8:B18)</f>
        <v>92</v>
      </c>
      <c r="C19" s="799">
        <f>SUBTOTAL(9,C8:C18)</f>
        <v>46</v>
      </c>
      <c r="D19" s="800">
        <f>SUBTOTAL(9,D8:D18)</f>
        <v>2285</v>
      </c>
    </row>
    <row r="20" spans="1:4" ht="7.5" customHeight="1"/>
    <row r="21" spans="1:4" ht="6" customHeight="1"/>
    <row r="22" spans="1:4">
      <c r="A22" s="391" t="str">
        <f>Criterios!A4</f>
        <v>Fecha Informe: 29 nov. 2024</v>
      </c>
    </row>
    <row r="27" spans="1:4">
      <c r="A27" s="414"/>
    </row>
  </sheetData>
  <sheetProtection algorithmName="SHA-512" hashValue="4UzafFDv7pLBvpBxusIFNS6uE1Et/wtXQu/iYCZw7zEc012ZOXke4HiOoOnsS+u/Ig+X5umoIjt08XCstHXLyg==" saltValue="SWLjvGskPA45YxmnXlup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ESPLUGUES DE LLOBREGAT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-0.27027027027027029</v>
      </c>
      <c r="C10" s="456">
        <f>IF(ISNUMBER((Datos!J10-Datos!T10)/Datos!T10),(Datos!J10-Datos!T10)/Datos!T10," - ")</f>
        <v>14</v>
      </c>
      <c r="D10" s="456" t="str">
        <f>IF(ISNUMBER((Datos!K10-Datos!U10)/Datos!U10),(Datos!K10-Datos!U10)/Datos!U10," - ")</f>
        <v xml:space="preserve"> - </v>
      </c>
      <c r="E10" s="456">
        <f>IF(ISNUMBER((Datos!L10-Datos!V10)/Datos!V10),(Datos!L10-Datos!V10)/Datos!V10," - ")</f>
        <v>-0.13157894736842105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0.11008645533141211</v>
      </c>
      <c r="C12" s="456">
        <f>IF(ISNUMBER(
   IF(J_V="SI",(Datos!J12-Datos!T12)/Datos!T12,(Datos!J12+Datos!Z12-(Datos!T12+Datos!AH12))/(Datos!T12+Datos!AH12))
     ),IF(J_V="SI",(Datos!J12-Datos!T12)/Datos!T12,(Datos!J12+Datos!Z12-(Datos!T12+Datos!AH12))/(Datos!T12+Datos!AH12))," - ")</f>
        <v>-6.9627851140456179E-2</v>
      </c>
      <c r="D12" s="456">
        <f>IF(ISNUMBER(
   IF(J_V="SI",(Datos!K12-Datos!U12)/Datos!U12,(Datos!K12+Datos!AA12-(Datos!U12+Datos!AI12))/(Datos!U12+Datos!AI12))
     ),IF(J_V="SI",(Datos!K12-Datos!U12)/Datos!U12,(Datos!K12+Datos!AA12-(Datos!U12+Datos!AI12))/(Datos!U12+Datos!AI12))," - ")</f>
        <v>-6.5681444991789817E-3</v>
      </c>
      <c r="E12" s="456">
        <f>IF(ISNUMBER(
   IF(J_V="SI",(Datos!L12-Datos!V12)/Datos!V12,(Datos!L12+Datos!AB12-(Datos!V12+Datos!AJ12))/(Datos!V12+Datos!AJ12))
     ),IF(J_V="SI",(Datos!L12-Datos!V12)/Datos!V12,(Datos!L12+Datos!AB12-(Datos!V12+Datos!AJ12))/(Datos!V12+Datos!AJ12))," - ")</f>
        <v>6.9933639612046961E-2</v>
      </c>
      <c r="F12" s="456">
        <f>IF(ISNUMBER((Datos!M12-Datos!W12)/Datos!W12),(Datos!M12-Datos!W12)/Datos!W12," - ")</f>
        <v>7.1428571428571425E-2</v>
      </c>
      <c r="G12" s="457">
        <f>IF(ISNUMBER((Datos!N12-Datos!X12)/Datos!X12),(Datos!N12-Datos!X12)/Datos!X12," - ")</f>
        <v>-5.089820359281437E-2</v>
      </c>
      <c r="H12" s="455">
        <f>IF(ISNUMBER(((NºAsuntos!G12/NºAsuntos!E12)-Datos!BD12)/Datos!BD12),((NºAsuntos!G12/NºAsuntos!E12)-Datos!BD12)/Datos!BD12," - ")</f>
        <v>6.777901371894704E-2</v>
      </c>
      <c r="I12" s="456">
        <f>IF(ISNUMBER(((NºAsuntos!I12/NºAsuntos!G12)-Datos!BE12)/Datos!BE12),((NºAsuntos!I12/NºAsuntos!G12)-Datos!BE12)/Datos!BE12," - ")</f>
        <v>7.700758103096958E-2</v>
      </c>
      <c r="J12" s="461">
        <f>IF(ISNUMBER((('Resol  Asuntos'!D12/NºAsuntos!G12)-Datos!BF12)/Datos!BF12),(('Resol  Asuntos'!D12/NºAsuntos!G12)-Datos!BF12)/Datos!BF12," - ")</f>
        <v>-0.77396446775869743</v>
      </c>
      <c r="K12" s="462">
        <f>IF(ISNUMBER((((NºAsuntos!C12+NºAsuntos!E12)/NºAsuntos!G12)-Datos!BG12)/Datos!BG12),(((NºAsuntos!C12+NºAsuntos!E12)/NºAsuntos!G12)-Datos!BG12)/Datos!BG12," - ")</f>
        <v>5.8745269174326098E-2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0.10214446952595936</v>
      </c>
      <c r="C13" s="855">
        <f>IF(ISNUMBER(
   IF(J_V="SI",(Datos!J13-Datos!T13)/Datos!T13,(Datos!J13+Datos!Z13-(Datos!T13+Datos!AH13))/(Datos!T13+Datos!AH13))
     ),IF(J_V="SI",(Datos!J13-Datos!T13)/Datos!T13,(Datos!J13+Datos!Z13-(Datos!T13+Datos!AH13))/(Datos!T13+Datos!AH13))," - ")</f>
        <v>-5.2757793764988008E-2</v>
      </c>
      <c r="D13" s="855">
        <f>IF(ISNUMBER(
   IF(J_V="SI",(Datos!K13-Datos!U13)/Datos!U13,(Datos!K13+Datos!AA13-(Datos!U13+Datos!AI13))/(Datos!U13+Datos!AI13))
     ),IF(J_V="SI",(Datos!K13-Datos!U13)/Datos!U13,(Datos!K13+Datos!AA13-(Datos!U13+Datos!AI13))/(Datos!U13+Datos!AI13))," - ")</f>
        <v>8.2101806239737278E-3</v>
      </c>
      <c r="E13" s="855">
        <f>IF(ISNUMBER(
   IF(J_V="SI",(Datos!L13-Datos!V13)/Datos!V13,(Datos!L13+Datos!AB13-(Datos!V13+Datos!AJ13))/(Datos!V13+Datos!AJ13))
     ),IF(J_V="SI",(Datos!L13-Datos!V13)/Datos!V13,(Datos!L13+Datos!AB13-(Datos!V13+Datos!AJ13))/(Datos!V13+Datos!AJ13))," - ")</f>
        <v>6.609914872308463E-2</v>
      </c>
      <c r="F13" s="856">
        <f>IF(ISNUMBER((Datos!M13-Datos!W13)/Datos!W13),(Datos!M13-Datos!W13)/Datos!W13," - ")</f>
        <v>0.1</v>
      </c>
      <c r="G13" s="857">
        <f>IF(ISNUMBER((Datos!N13-Datos!X13)/Datos!X13),(Datos!N13-Datos!X13)/Datos!X13," - ")</f>
        <v>-4.4910179640718563E-2</v>
      </c>
      <c r="H13" s="857">
        <f>IF(ISNUMBER(((NºAsuntos!G13/NºAsuntos!E13)-Datos!BD13)/Datos!BD13),((NºAsuntos!G13/NºAsuntos!E13)-Datos!BD13)/Datos!BD13," - ")</f>
        <v>6.4363659038473561E-2</v>
      </c>
      <c r="I13" s="857">
        <f>IF(ISNUMBER(((NºAsuntos!I13/NºAsuntos!G13)-Datos!BE13)/Datos!BE13),((NºAsuntos!I13/NºAsuntos!G13)-Datos!BE13)/Datos!BE13," - ")</f>
        <v>5.741755956410189E-2</v>
      </c>
      <c r="J13" s="857">
        <f>IF(ISNUMBER((('Resol  Asuntos'!D13/NºAsuntos!G13)-Datos!BF13)/Datos!BF13),(('Resol  Asuntos'!D13/NºAsuntos!G13)-Datos!BF13)/Datos!BF13," - ")</f>
        <v>-0.77133843063059548</v>
      </c>
      <c r="K13" s="857">
        <f>IF(ISNUMBER((((NºAsuntos!C13+NºAsuntos!E13)/NºAsuntos!G13)-Datos!BG13)/Datos!BG13),(((NºAsuntos!C13+NºAsuntos!E13)/NºAsuntos!G13)-Datos!BG13)/Datos!BG13," - ")</f>
        <v>4.3999565022836216E-2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-4.1218637992831542E-2</v>
      </c>
      <c r="C16" s="456">
        <f>IF(ISNUMBER(
   IF(D_I="SI",(Datos!J16-Datos!T16)/Datos!T16,(Datos!J16+Datos!AD16-(Datos!T16+Datos!AL16))/(Datos!T16+Datos!AL16))
     ),IF(D_I="SI",(Datos!J16-Datos!T16)/Datos!T16,(Datos!J16+Datos!AD16-(Datos!T16+Datos!AL16))/(Datos!T16+Datos!AL16))," - ")</f>
        <v>0.10315533980582524</v>
      </c>
      <c r="D16" s="456">
        <f>IF(ISNUMBER(
   IF(D_I="SI",(Datos!K16-Datos!U16)/Datos!U16,(Datos!K16+Datos!AE16-(Datos!U16+Datos!AM16))/(Datos!U16+Datos!AM16))
     ),IF(D_I="SI",(Datos!K16-Datos!U16)/Datos!U16,(Datos!K16+Datos!AE16-(Datos!U16+Datos!AM16))/(Datos!U16+Datos!AM16))," - ")</f>
        <v>0.13020833333333334</v>
      </c>
      <c r="E16" s="456">
        <f>IF(ISNUMBER(
   IF(D_I="SI",(Datos!L16-Datos!V16)/Datos!V16,(Datos!L16+Datos!AF16-(Datos!V16+Datos!AN16))/(Datos!V16+Datos!AN16))
     ),IF(D_I="SI",(Datos!L16-Datos!V16)/Datos!V16,(Datos!L16+Datos!AF16-(Datos!V16+Datos!AN16))/(Datos!V16+Datos!AN16))," - ")</f>
        <v>-5.2047781569965867E-2</v>
      </c>
      <c r="F16" s="456">
        <f>IF(ISNUMBER((Datos!M16-Datos!W16)/Datos!W16),(Datos!M16-Datos!W16)/Datos!W16," - ")</f>
        <v>0.660377358490566</v>
      </c>
      <c r="G16" s="457">
        <f>IF(ISNUMBER((Datos!N16-Datos!X16)/Datos!X16),(Datos!N16-Datos!X16)/Datos!X16," - ")</f>
        <v>0.16351118760757316</v>
      </c>
      <c r="H16" s="455">
        <f>IF(ISNUMBER(((NºAsuntos!G16/NºAsuntos!E16)-Datos!BD16)/Datos!BD16),((NºAsuntos!G16/NºAsuntos!E16)-Datos!BD16)/Datos!BD16," - ")</f>
        <v>2.4523285661899461E-2</v>
      </c>
      <c r="I16" s="456">
        <f>IF(ISNUMBER(((NºAsuntos!I16/NºAsuntos!G16)-Datos!BE16)/Datos!BE16),((NºAsuntos!I16/NºAsuntos!G16)-Datos!BE16)/Datos!BE16," - ")</f>
        <v>-0.16125886664255046</v>
      </c>
      <c r="J16" s="461">
        <f>IF(ISNUMBER((('Resol  Asuntos'!D16/NºAsuntos!G16)-Datos!BF16)/Datos!BF16),(('Resol  Asuntos'!D16/NºAsuntos!G16)-Datos!BF16)/Datos!BF16," - ")</f>
        <v>0.46908964437874967</v>
      </c>
      <c r="K16" s="462">
        <f>IF(ISNUMBER((((NºAsuntos!C16+NºAsuntos!E16)/NºAsuntos!G16)-Datos!BG16)/Datos!BG16),(((NºAsuntos!C16+NºAsuntos!E16)/NºAsuntos!G16)-Datos!BG16)/Datos!BG16," - ")</f>
        <v>-9.7420305002612881E-2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-1.1494252873563218E-2</v>
      </c>
      <c r="C17" s="456">
        <f>IF(ISNUMBER(
   IF(D_I="SI",(Datos!J17-Datos!T17)/Datos!T17,(Datos!J17+Datos!AD17-(Datos!T17+Datos!AL17))/(Datos!T17+Datos!AL17))
     ),IF(D_I="SI",(Datos!J17-Datos!T17)/Datos!T17,(Datos!J17+Datos!AD17-(Datos!T17+Datos!AL17))/(Datos!T17+Datos!AL17))," - ")</f>
        <v>0.27500000000000002</v>
      </c>
      <c r="D17" s="456">
        <f>IF(ISNUMBER(
   IF(D_I="SI",(Datos!K17-Datos!U17)/Datos!U17,(Datos!K17+Datos!AE17-(Datos!U17+Datos!AM17))/(Datos!U17+Datos!AM17))
     ),IF(D_I="SI",(Datos!K17-Datos!U17)/Datos!U17,(Datos!K17+Datos!AE17-(Datos!U17+Datos!AM17))/(Datos!U17+Datos!AM17))," - ")</f>
        <v>0.75757575757575757</v>
      </c>
      <c r="E17" s="456">
        <f>IF(ISNUMBER(
   IF(D_I="SI",(Datos!L17-Datos!V17)/Datos!V17,(Datos!L17+Datos!AF17-(Datos!V17+Datos!AN17))/(Datos!V17+Datos!AN17))
     ),IF(D_I="SI",(Datos!L17-Datos!V17)/Datos!V17,(Datos!L17+Datos!AF17-(Datos!V17+Datos!AN17))/(Datos!V17+Datos!AN17))," - ")</f>
        <v>-8.8397790055248615E-2</v>
      </c>
      <c r="F17" s="456">
        <f>IF(ISNUMBER((Datos!M17-Datos!W17)/Datos!W17),(Datos!M17-Datos!W17)/Datos!W17," - ")</f>
        <v>0.33333333333333331</v>
      </c>
      <c r="G17" s="457">
        <f>IF(ISNUMBER((Datos!N17-Datos!X17)/Datos!X17),(Datos!N17-Datos!X17)/Datos!X17," - ")</f>
        <v>2.7692307692307692</v>
      </c>
      <c r="H17" s="455">
        <f>IF(ISNUMBER(((NºAsuntos!G17/NºAsuntos!E17)-Datos!BD17)/Datos!BD17),((NºAsuntos!G17/NºAsuntos!E17)-Datos!BD17)/Datos!BD17," - ")</f>
        <v>0.37849079025549615</v>
      </c>
      <c r="I17" s="456">
        <f>IF(ISNUMBER(((NºAsuntos!I17/NºAsuntos!G17)-Datos!BE17)/Datos!BE17),((NºAsuntos!I17/NºAsuntos!G17)-Datos!BE17)/Datos!BE17," - ")</f>
        <v>-0.48132977710040009</v>
      </c>
      <c r="J17" s="461">
        <f>IF(ISNUMBER((('Resol  Asuntos'!D17/NºAsuntos!G17)-Datos!BF17)/Datos!BF17),(('Resol  Asuntos'!D17/NºAsuntos!G17)-Datos!BF17)/Datos!BF17," - ")</f>
        <v>-0.24137931034482762</v>
      </c>
      <c r="K17" s="462">
        <f>IF(ISNUMBER((((NºAsuntos!C17+NºAsuntos!E17)/NºAsuntos!G17)-Datos!BG17)/Datos!BG17),(((NºAsuntos!C17+NºAsuntos!E17)/NºAsuntos!G17)-Datos!BG17)/Datos!BG17," - ")</f>
        <v>-0.40710602642603932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-3.7209302325581395E-2</v>
      </c>
      <c r="C18" s="855">
        <f>IF(ISNUMBER(
   IF(Criterios!B14="SI",(Datos!J18-Datos!T18)/Datos!T18,(Datos!J18+Datos!AD18-(Datos!T18+Datos!AL18))/(Datos!T18+Datos!AL18))
     ),IF(Criterios!B14="SI",(Datos!J18-Datos!T18)/Datos!T18,(Datos!J18+Datos!AD18-(Datos!T18+Datos!AL18))/(Datos!T18+Datos!AL18))," - ")</f>
        <v>0.1111111111111111</v>
      </c>
      <c r="D18" s="855">
        <f>IF(ISNUMBER(
   IF(Criterios!B14="SI",(Datos!K18-Datos!U18)/Datos!U18,(Datos!K18+Datos!AE18-(Datos!U18+Datos!AM18))/(Datos!U18+Datos!AM18))
     ),IF(Criterios!B14="SI",(Datos!K18-Datos!U18)/Datos!U18,(Datos!K18+Datos!AE18-(Datos!U18+Datos!AM18))/(Datos!U18+Datos!AM18))," - ")</f>
        <v>0.1560549313358302</v>
      </c>
      <c r="E18" s="855">
        <f>IF(ISNUMBER(
   IF(Criterios!B14="SI",(Datos!L18-Datos!V18)/Datos!V18,(Datos!L18+Datos!AF18-(Datos!V18+Datos!AN18))/(Datos!V18+Datos!AN18))
     ),IF(Criterios!B14="SI",(Datos!L18-Datos!V18)/Datos!V18,(Datos!L18+Datos!AF18-(Datos!V18+Datos!AN18))/(Datos!V18+Datos!AN18))," - ")</f>
        <v>-5.6910569105691054E-2</v>
      </c>
      <c r="F18" s="856">
        <f>IF(ISNUMBER((Datos!M18-Datos!W18)/Datos!W18),(Datos!M18-Datos!W18)/Datos!W18," - ")</f>
        <v>0.6428571428571429</v>
      </c>
      <c r="G18" s="857">
        <f>IF(ISNUMBER((Datos!N18-Datos!X18)/Datos!X18),(Datos!N18-Datos!X18)/Datos!X18," - ")</f>
        <v>0.22053872053872053</v>
      </c>
      <c r="H18" s="857">
        <f>IF(ISNUMBER(((NºAsuntos!G18/NºAsuntos!E18)-Datos!BD18)/Datos!BD18),((NºAsuntos!G18/NºAsuntos!E18)-Datos!BD18)/Datos!BD18," - ")</f>
        <v>4.0449438202247168E-2</v>
      </c>
      <c r="I18" s="857">
        <f>IF(ISNUMBER(((NºAsuntos!I18/NºAsuntos!G18)-Datos!BE18)/Datos!BE18),((NºAsuntos!I18/NºAsuntos!G18)-Datos!BE18)/Datos!BE18," - ")</f>
        <v>-0.18421745772533321</v>
      </c>
      <c r="J18" s="857">
        <f>IF(ISNUMBER((('Resol  Asuntos'!D18/NºAsuntos!G18)-Datos!BF18)/Datos!BF18),(('Resol  Asuntos'!D18/NºAsuntos!G18)-Datos!BF18)/Datos!BF18," - ")</f>
        <v>0.42108917000925633</v>
      </c>
      <c r="K18" s="857">
        <f>IF(ISNUMBER((((NºAsuntos!C18+NºAsuntos!E18)/NºAsuntos!G18)-Datos!BG18)/Datos!BG18),(((NºAsuntos!C18+NºAsuntos!E18)/NºAsuntos!G18)-Datos!BG18)/Datos!BG18," - ")</f>
        <v>-0.11571319419794607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4.3435662965382101E-2</v>
      </c>
      <c r="C19" s="802">
        <f>IF(ISNUMBER(
   IF(J_V="SI",(Datos!J19-Datos!T19)/Datos!T19,(Datos!J19+Datos!Z19-(Datos!T19+Datos!AH19))/(Datos!T19+Datos!AH19))
     ),IF(J_V="SI",(Datos!J19-Datos!T19)/Datos!T19,(Datos!J19+Datos!Z19-(Datos!T19+Datos!AH19))/(Datos!T19+Datos!AH19))," - ")</f>
        <v>3.0624263839811542E-2</v>
      </c>
      <c r="D19" s="802">
        <f>IF(ISNUMBER(
   IF(J_V="SI",(Datos!K19-Datos!U19)/Datos!U19,(Datos!K19+Datos!AA19-(Datos!U19+Datos!AI19))/(Datos!U19+Datos!AI19))
     ),IF(J_V="SI",(Datos!K19-Datos!U19)/Datos!U19,(Datos!K19+Datos!AA19-(Datos!U19+Datos!AI19))/(Datos!U19+Datos!AI19))," - ")</f>
        <v>9.2198581560283682E-2</v>
      </c>
      <c r="E19" s="802">
        <f>IF(ISNUMBER(
   IF(J_V="SI",(Datos!L19-Datos!V19)/Datos!V19,(Datos!L19+Datos!AB19-(Datos!V19+Datos!AJ19))/(Datos!V19+Datos!AJ19))
     ),IF(J_V="SI",(Datos!L19-Datos!V19)/Datos!V19,(Datos!L19+Datos!AB19-(Datos!V19+Datos!AJ19))/(Datos!V19+Datos!AJ19))," - ")</f>
        <v>1.6417910447761194E-2</v>
      </c>
      <c r="F19" s="803">
        <f>IF(ISNUMBER((Datos!M19-Datos!W19)/Datos!W19),(Datos!M19-Datos!W19)/Datos!W19," - ")</f>
        <v>0.34126984126984128</v>
      </c>
      <c r="G19" s="804">
        <f>IF(ISNUMBER((Datos!N19-Datos!X19)/Datos!X19),(Datos!N19-Datos!X19)/Datos!X19," - ")</f>
        <v>0.125</v>
      </c>
      <c r="H19" s="805">
        <f>IF(ISNUMBER((Tasas!B19-Datos!BD19)/Datos!BD19),(Tasas!B19-Datos!BD19)/Datos!BD19," - ")</f>
        <v>5.9744680851063818E-2</v>
      </c>
      <c r="I19" s="806">
        <f>IF(ISNUMBER((Tasas!C19-Datos!BE19)/Datos!BE19),(Tasas!C19-Datos!BE19)/Datos!BE19," - ")</f>
        <v>-6.9383601473153672E-2</v>
      </c>
      <c r="J19" s="807">
        <f>IF(ISNUMBER((Tasas!D19-Datos!BF19)/Datos!BF19),(Tasas!D19-Datos!BF19)/Datos!BF19," - ")</f>
        <v>-0.60324675324675325</v>
      </c>
      <c r="K19" s="807">
        <f>IF(ISNUMBER((Tasas!E19-Datos!BG19)/Datos!BG19),(Tasas!E19-Datos!BG19)/Datos!BG19," - ")</f>
        <v>-4.8830895994761508E-2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Wk9YcbKRMqIZXY857/Cy05bjT7ri2w1Q82UANsiT2db8lm7aEcfOjKLscs3Jaqlrmz5VGCOhXpZJZTbMhjw/w==" saltValue="Xwn8TJXAUBHt0yj/iXx6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ESPLUGUES DE LLOBREGAT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3.6666666666666665</v>
      </c>
      <c r="D10" s="444">
        <f>IF(ISNUMBER('Resol  Asuntos'!D10/NºAsuntos!G10),'Resol  Asuntos'!D10/NºAsuntos!G10," - ")</f>
        <v>0.22222222222222221</v>
      </c>
      <c r="E10" s="445">
        <f>IF(ISNUMBER((NºAsuntos!C10+NºAsuntos!E10)/NºAsuntos!G10),(NºAsuntos!C10+NºAsuntos!E10)/NºAsuntos!G10," - ")</f>
        <v>4.666666666666667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0.78064516129032258</v>
      </c>
      <c r="C12" s="443">
        <f>IF(ISNUMBER(NºAsuntos!I12/NºAsuntos!G12),NºAsuntos!I12/NºAsuntos!G12," - ")</f>
        <v>3.4644628099173556</v>
      </c>
      <c r="D12" s="444">
        <f>IF(ISNUMBER('Resol  Asuntos'!D12/NºAsuntos!G12),'Resol  Asuntos'!D12/NºAsuntos!G12," - ")</f>
        <v>0.12396694214876033</v>
      </c>
      <c r="E12" s="445">
        <f>IF(ISNUMBER((NºAsuntos!C12+NºAsuntos!E12)/NºAsuntos!G12),(NºAsuntos!C12+NºAsuntos!E12)/NºAsuntos!G12," - ")</f>
        <v>4.4644628099173556</v>
      </c>
      <c r="G12" s="463"/>
    </row>
    <row r="13" spans="1:7" ht="14.25" thickTop="1" thickBot="1">
      <c r="A13" s="848" t="str">
        <f>Datos!A13</f>
        <v>TOTAL</v>
      </c>
      <c r="B13" s="858">
        <f>IF(ISNUMBER(NºAsuntos!G13/NºAsuntos!E13),NºAsuntos!G13/NºAsuntos!E13," - ")</f>
        <v>0.77721518987341776</v>
      </c>
      <c r="C13" s="859">
        <f>IF(ISNUMBER(NºAsuntos!I13/NºAsuntos!G13),NºAsuntos!I13/NºAsuntos!G13," - ")</f>
        <v>3.4674267100977199</v>
      </c>
      <c r="D13" s="860">
        <f>IF(ISNUMBER('Resol  Asuntos'!D13/NºAsuntos!G13),'Resol  Asuntos'!D13/NºAsuntos!G13," - ")</f>
        <v>0.1254071661237785</v>
      </c>
      <c r="E13" s="861">
        <f>IF(ISNUMBER((NºAsuntos!C13+NºAsuntos!E13)/NºAsuntos!G13),(NºAsuntos!C13+NºAsuntos!E13)/NºAsuntos!G13," - ")</f>
        <v>4.4674267100977199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0.95489548954895487</v>
      </c>
      <c r="C16" s="443">
        <f>IF(ISNUMBER(NºAsuntos!I16/NºAsuntos!G16),NºAsuntos!I16/NºAsuntos!G16," - ")</f>
        <v>1.2799539170506913</v>
      </c>
      <c r="D16" s="444">
        <f>IF(ISNUMBER('Resol  Asuntos'!D16/NºAsuntos!G16),'Resol  Asuntos'!D16/NºAsuntos!G16," - ")</f>
        <v>0.10138248847926268</v>
      </c>
      <c r="E16" s="445">
        <f>IF(ISNUMBER((NºAsuntos!C16+NºAsuntos!E16)/NºAsuntos!G16),(NºAsuntos!C16+NºAsuntos!E16)/NºAsuntos!G16," - ")</f>
        <v>2.2799539170506913</v>
      </c>
      <c r="G16" s="463"/>
    </row>
    <row r="17" spans="1:7" ht="13.5" thickBot="1">
      <c r="A17" s="402" t="str">
        <f>Datos!A17</f>
        <v>Jdos. Violencia contra la mujer</v>
      </c>
      <c r="B17" s="442">
        <f>IF(ISNUMBER(NºAsuntos!G17/NºAsuntos!E17),NºAsuntos!G17/NºAsuntos!E17," - ")</f>
        <v>1.1372549019607843</v>
      </c>
      <c r="C17" s="443">
        <f>IF(ISNUMBER(NºAsuntos!I17/NºAsuntos!G17),NºAsuntos!I17/NºAsuntos!G17," - ")</f>
        <v>2.8448275862068964</v>
      </c>
      <c r="D17" s="444">
        <f>IF(ISNUMBER('Resol  Asuntos'!D17/NºAsuntos!G17),'Resol  Asuntos'!D17/NºAsuntos!G17," - ")</f>
        <v>6.8965517241379309E-2</v>
      </c>
      <c r="E17" s="445">
        <f>IF(ISNUMBER((NºAsuntos!C17+NºAsuntos!E17)/NºAsuntos!G17),(NºAsuntos!C17+NºAsuntos!E17)/NºAsuntos!G17," - ")</f>
        <v>3.8448275862068964</v>
      </c>
      <c r="G17" s="463"/>
    </row>
    <row r="18" spans="1:7" ht="14.25" thickTop="1" thickBot="1">
      <c r="A18" s="848" t="str">
        <f>Datos!A18</f>
        <v>TOTAL</v>
      </c>
      <c r="B18" s="858">
        <f>IF(ISNUMBER(NºAsuntos!G18/NºAsuntos!E18),NºAsuntos!G18/NºAsuntos!E18," - ")</f>
        <v>0.96458333333333335</v>
      </c>
      <c r="C18" s="859">
        <f>IF(ISNUMBER(NºAsuntos!I18/NºAsuntos!G18),NºAsuntos!I18/NºAsuntos!G18," - ")</f>
        <v>1.3779697624190064</v>
      </c>
      <c r="D18" s="862">
        <f>IF(ISNUMBER('Resol  Asuntos'!D18/NºAsuntos!G18),'Resol  Asuntos'!D18/NºAsuntos!G18," - ")</f>
        <v>9.9352051835853133E-2</v>
      </c>
      <c r="E18" s="861">
        <f>IF(ISNUMBER((NºAsuntos!C18+NºAsuntos!E18)/NºAsuntos!G18),(NºAsuntos!C18+NºAsuntos!E18)/NºAsuntos!G18," - ")</f>
        <v>2.3779697624190064</v>
      </c>
      <c r="G18" s="463"/>
    </row>
    <row r="19" spans="1:7" ht="15.75" customHeight="1" thickTop="1" thickBot="1">
      <c r="A19" s="793" t="str">
        <f>Datos!A19</f>
        <v>TOTAL JURISDICCIONES</v>
      </c>
      <c r="B19" s="808">
        <f>IF(ISNUMBER(NºAsuntos!G19/NºAsuntos!E19),NºAsuntos!G19/NºAsuntos!E19," - ")</f>
        <v>0.88</v>
      </c>
      <c r="C19" s="809">
        <f>IF(ISNUMBER(NºAsuntos!I19/NºAsuntos!G19),NºAsuntos!I19/NºAsuntos!G19," - ")</f>
        <v>2.2110389610389611</v>
      </c>
      <c r="D19" s="810">
        <f>IF(ISNUMBER('Resol  Asuntos'!D19/NºAsuntos!G19),'Resol  Asuntos'!D19/NºAsuntos!G19," - ")</f>
        <v>0.10974025974025974</v>
      </c>
      <c r="E19" s="811">
        <f>IF(ISNUMBER((NºAsuntos!C19+NºAsuntos!E19)/NºAsuntos!G19),(NºAsuntos!C19+NºAsuntos!E19)/NºAsuntos!G19," - ")</f>
        <v>3.2110389610389611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s9vx0iqrHFo51fvcT0ApTniMNr3sZUku6XqfPX7Idm4p3LfeigSt9TXvjpBgSQjs02Ymc0JOVigbkADFerBnA==" saltValue="MKBLnUd8i/FP9tcy9OY47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ESPLUGUES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33</v>
      </c>
      <c r="AB10" s="334">
        <f>IF(ISNUMBER(Datos!R10),Datos!R10," - ")</f>
        <v>8</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7.3333333333333321</v>
      </c>
      <c r="AN10" s="244">
        <f>IF(ISNUMBER('Resol  Asuntos'!D10/NºAsuntos!G10),'Resol  Asuntos'!D10/NºAsuntos!G10," - ")</f>
        <v>0.22222222222222221</v>
      </c>
      <c r="AO10" s="245">
        <f>IF(ISNUMBER((NºAsuntos!C10+NºAsuntos!E10)/NºAsuntos!G10),(NºAsuntos!C10+NºAsuntos!E10)/NºAsuntos!G10," - ")</f>
        <v>4.666666666666667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0.78064516129032258</v>
      </c>
      <c r="AM12" s="260">
        <f>IF(ISNUMBER(((NºAsuntos!I12/NºAsuntos!G12)*11)/factor_trimestre),((NºAsuntos!I12/NºAsuntos!G12)*11)/factor_trimestre," - ")</f>
        <v>6.9289256198347111</v>
      </c>
      <c r="AN12" s="244">
        <f>IF(ISNUMBER('Resol  Asuntos'!D12/NºAsuntos!G12),'Resol  Asuntos'!D12/NºAsuntos!G12," - ")</f>
        <v>0.12396694214876033</v>
      </c>
      <c r="AO12" s="245">
        <f>IF(ISNUMBER((NºAsuntos!C12+NºAsuntos!E12)/NºAsuntos!G12),(NºAsuntos!C12+NºAsuntos!E12)/NºAsuntos!G12," - ")</f>
        <v>4.4644628099173556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27</v>
      </c>
      <c r="G13" s="866">
        <f t="shared" si="3"/>
        <v>27</v>
      </c>
      <c r="H13" s="865">
        <f t="shared" si="3"/>
        <v>0</v>
      </c>
      <c r="I13" s="867">
        <f t="shared" si="3"/>
        <v>0</v>
      </c>
      <c r="J13" s="867">
        <f t="shared" si="3"/>
        <v>0</v>
      </c>
      <c r="K13" s="867">
        <f t="shared" si="3"/>
        <v>0</v>
      </c>
      <c r="L13" s="867">
        <f t="shared" si="3"/>
        <v>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41</v>
      </c>
      <c r="Y13" s="868">
        <f t="shared" si="4"/>
        <v>50</v>
      </c>
      <c r="Z13" s="868">
        <f t="shared" si="4"/>
        <v>0</v>
      </c>
      <c r="AA13" s="868">
        <f t="shared" si="4"/>
        <v>33</v>
      </c>
      <c r="AB13" s="868">
        <f t="shared" si="4"/>
        <v>2191</v>
      </c>
      <c r="AC13" s="868">
        <f t="shared" si="4"/>
        <v>41</v>
      </c>
      <c r="AD13" s="868">
        <f t="shared" si="4"/>
        <v>0</v>
      </c>
      <c r="AE13" s="872">
        <f t="shared" si="4"/>
        <v>0</v>
      </c>
      <c r="AF13" s="865">
        <f t="shared" si="4"/>
        <v>0</v>
      </c>
      <c r="AG13" s="873">
        <f t="shared" si="4"/>
        <v>0</v>
      </c>
      <c r="AH13" s="870">
        <f t="shared" si="4"/>
        <v>0</v>
      </c>
      <c r="AI13" s="865">
        <f t="shared" si="4"/>
        <v>77</v>
      </c>
      <c r="AJ13" s="867">
        <f t="shared" si="4"/>
        <v>0</v>
      </c>
      <c r="AK13" s="870">
        <f>SUBTOTAL(9,AK9:AK12)</f>
        <v>0</v>
      </c>
      <c r="AL13" s="874">
        <f>IF(ISNUMBER(NºAsuntos!G13/NºAsuntos!E13),NºAsuntos!G13/NºAsuntos!E13," - ")</f>
        <v>0.77721518987341776</v>
      </c>
      <c r="AM13" s="874">
        <f>IF(ISNUMBER(((NºAsuntos!I13/NºAsuntos!G13)*11)/factor_trimestre),((NºAsuntos!I13/NºAsuntos!G13)*11)/factor_trimestre," - ")</f>
        <v>6.9348534201954388</v>
      </c>
      <c r="AN13" s="875">
        <f>IF(ISNUMBER('Resol  Asuntos'!D13/NºAsuntos!G13),'Resol  Asuntos'!D13/NºAsuntos!G13," - ")</f>
        <v>0.1254071661237785</v>
      </c>
      <c r="AO13" s="876">
        <f>IF(ISNUMBER((NºAsuntos!C13+NºAsuntos!E13)/NºAsuntos!G13),(NºAsuntos!C13+NºAsuntos!E13)/NºAsuntos!G13," - ")</f>
        <v>4.4674267100977199</v>
      </c>
      <c r="AP13" s="877" t="str">
        <f t="shared" si="2"/>
        <v xml:space="preserve"> - </v>
      </c>
      <c r="AQ13" s="877">
        <f>IF(ISNUMBER((H13-W13+K13)/(F13)),(H13-W13+K13)/(F13)," - ")</f>
        <v>-0.33333333333333331</v>
      </c>
      <c r="AR13" s="878">
        <f>IF(ISNUMBER((Datos!P13-Datos!Q13)/(Datos!R13-Datos!P13+Datos!Q13)),(Datos!P13-Datos!Q13)/(Datos!R13-Datos!P13+Datos!Q13)," - ")</f>
        <v>1.9069767441860466E-2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1070</v>
      </c>
      <c r="G16" s="333">
        <f>IF(ISNUMBER(IF(D_I="SI",Datos!I16,Datos!I16+Datos!AC16)),IF(D_I="SI",Datos!I16,Datos!I16+Datos!AC16)," - ")</f>
        <v>1070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868</v>
      </c>
      <c r="X16" s="226">
        <f>IF(ISNUMBER(Datos!Q16),Datos!Q16," - ")</f>
        <v>5</v>
      </c>
      <c r="Y16" s="334">
        <f t="shared" ref="Y16:Y17" si="7">SUM(W16:X16)</f>
        <v>873</v>
      </c>
      <c r="Z16" s="335" t="str">
        <f>IF(ISNUMBER(Datos!CC16),Datos!CC16," - ")</f>
        <v xml:space="preserve"> - </v>
      </c>
      <c r="AA16" s="332">
        <f>IF(ISNUMBER(IF(D_I="SI",Datos!L16,Datos!L16+Datos!AF16)),IF(D_I="SI",Datos!L16,Datos!L16+Datos!AF16)," - ")</f>
        <v>1111</v>
      </c>
      <c r="AB16" s="334">
        <f>IF(ISNUMBER(Datos!R16),Datos!R16," - ")</f>
        <v>93</v>
      </c>
      <c r="AC16" s="334">
        <f t="shared" si="6"/>
        <v>1204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88</v>
      </c>
      <c r="AJ16" s="231" t="str">
        <f>IF(ISNUMBER(Datos!BW16),Datos!BW16," - ")</f>
        <v xml:space="preserve"> - </v>
      </c>
      <c r="AK16" s="232" t="str">
        <f>IF(ISNUMBER(Datos!BX16),Datos!BX16," - ")</f>
        <v xml:space="preserve"> - </v>
      </c>
      <c r="AL16" s="243">
        <f>IF(ISNUMBER(NºAsuntos!G16/NºAsuntos!E16),NºAsuntos!G16/NºAsuntos!E16," - ")</f>
        <v>0.95489548954895487</v>
      </c>
      <c r="AM16" s="260">
        <f>IF(ISNUMBER(((NºAsuntos!I16/NºAsuntos!G16)*11)/factor_trimestre),((NºAsuntos!I16/NºAsuntos!G16)*11)/factor_trimestre," - ")</f>
        <v>2.5599078341013826</v>
      </c>
      <c r="AN16" s="244">
        <f>IF(ISNUMBER('Resol  Asuntos'!D16/NºAsuntos!G16),'Resol  Asuntos'!D16/NºAsuntos!G16," - ")</f>
        <v>0.10138248847926268</v>
      </c>
      <c r="AO16" s="245">
        <f>IF(ISNUMBER((NºAsuntos!C16+NºAsuntos!E16)/NºAsuntos!G16),(NºAsuntos!C16+NºAsuntos!E16)/NºAsuntos!G16," - ")</f>
        <v>2.2799539170506913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0</v>
      </c>
      <c r="Y17" s="334">
        <f t="shared" si="7"/>
        <v>58</v>
      </c>
      <c r="Z17" s="335" t="str">
        <f>IF(ISNUMBER(Datos!CC17),Datos!CC17," - ")</f>
        <v xml:space="preserve"> - </v>
      </c>
      <c r="AA17" s="332">
        <f>IF(ISNUMBER(Datos!L17),Datos!L17,"-")</f>
        <v>165</v>
      </c>
      <c r="AB17" s="334">
        <f>IF(ISNUMBER(Datos!R17),Datos!R17," - ")</f>
        <v>1</v>
      </c>
      <c r="AC17" s="334">
        <f t="shared" si="6"/>
        <v>166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1.1372549019607843</v>
      </c>
      <c r="AM17" s="260">
        <f>IF(ISNUMBER(((NºAsuntos!I17/NºAsuntos!G17)*11)/factor_trimestre),((NºAsuntos!I17/NºAsuntos!G17)*11)/factor_trimestre," - ")</f>
        <v>5.6896551724137927</v>
      </c>
      <c r="AN17" s="244">
        <f>IF(ISNUMBER('Resol  Asuntos'!D17/NºAsuntos!G17),'Resol  Asuntos'!D17/NºAsuntos!G17," - ")</f>
        <v>6.8965517241379309E-2</v>
      </c>
      <c r="AO17" s="245">
        <f>IF(ISNUMBER((NºAsuntos!C17+NºAsuntos!E17)/NºAsuntos!G17),(NºAsuntos!C17+NºAsuntos!E17)/NºAsuntos!G17," - ")</f>
        <v>3.8448275862068964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1070</v>
      </c>
      <c r="G18" s="866">
        <f>SUBTOTAL(9,G15:G17)</f>
        <v>1242</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926</v>
      </c>
      <c r="X18" s="867">
        <f t="shared" si="11"/>
        <v>5</v>
      </c>
      <c r="Y18" s="868">
        <f t="shared" si="11"/>
        <v>931</v>
      </c>
      <c r="Z18" s="868">
        <f t="shared" si="11"/>
        <v>0</v>
      </c>
      <c r="AA18" s="868">
        <f t="shared" si="11"/>
        <v>1276</v>
      </c>
      <c r="AB18" s="868">
        <f t="shared" si="11"/>
        <v>94</v>
      </c>
      <c r="AC18" s="868">
        <f t="shared" si="11"/>
        <v>1370</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0.96458333333333335</v>
      </c>
      <c r="AM18" s="874">
        <f>IF(ISNUMBER(((NºAsuntos!I18/NºAsuntos!G18)*11)/factor_trimestre),((NºAsuntos!I18/NºAsuntos!G18)*11)/factor_trimestre," - ")</f>
        <v>2.7559395248380127</v>
      </c>
      <c r="AN18" s="875">
        <f>IF(ISNUMBER('Resol  Asuntos'!D18/NºAsuntos!G18),'Resol  Asuntos'!D18/NºAsuntos!G18," - ")</f>
        <v>9.9352051835853133E-2</v>
      </c>
      <c r="AO18" s="876">
        <f>IF(ISNUMBER((NºAsuntos!C18+NºAsuntos!E18)/NºAsuntos!G18),(NºAsuntos!C18+NºAsuntos!E18)/NºAsuntos!G18," - ")</f>
        <v>2.3779697624190064</v>
      </c>
      <c r="AP18" s="877" t="str">
        <f t="shared" si="2"/>
        <v xml:space="preserve"> - </v>
      </c>
      <c r="AQ18" s="877">
        <f>IF(ISNUMBER((H18-W18+K18)/(F18)),(H18-W18+K18)/(F18)," - ")</f>
        <v>-0.8654205607476636</v>
      </c>
      <c r="AR18" s="878">
        <f>IF(ISNUMBER((Datos!P18-Datos!Q18)/(Datos!R18-Datos!P18+Datos!Q18)),(Datos!P18-Datos!Q18)/(Datos!R18-Datos!P18+Datos!Q18)," - ")</f>
        <v>5.6179775280898875E-2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1097</v>
      </c>
      <c r="G19" s="821">
        <f t="shared" si="13"/>
        <v>1269</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935</v>
      </c>
      <c r="X19" s="821">
        <f t="shared" si="14"/>
        <v>46</v>
      </c>
      <c r="Y19" s="828">
        <f t="shared" si="14"/>
        <v>981</v>
      </c>
      <c r="Z19" s="828">
        <f t="shared" si="14"/>
        <v>0</v>
      </c>
      <c r="AA19" s="828">
        <f t="shared" si="14"/>
        <v>1309</v>
      </c>
      <c r="AB19" s="828">
        <f t="shared" si="14"/>
        <v>2285</v>
      </c>
      <c r="AC19" s="828">
        <f t="shared" si="14"/>
        <v>1411</v>
      </c>
      <c r="AD19" s="828">
        <f t="shared" si="14"/>
        <v>0</v>
      </c>
      <c r="AE19" s="830">
        <f t="shared" si="14"/>
        <v>0</v>
      </c>
      <c r="AF19" s="831">
        <f t="shared" si="14"/>
        <v>0</v>
      </c>
      <c r="AG19" s="832">
        <f t="shared" si="14"/>
        <v>0</v>
      </c>
      <c r="AH19" s="830">
        <f t="shared" si="14"/>
        <v>0</v>
      </c>
      <c r="AI19" s="820">
        <f t="shared" si="14"/>
        <v>169</v>
      </c>
      <c r="AJ19" s="820">
        <f t="shared" si="14"/>
        <v>0</v>
      </c>
      <c r="AK19" s="830">
        <f t="shared" si="14"/>
        <v>0</v>
      </c>
      <c r="AL19" s="884">
        <f>IF(ISNUMBER(NºAsuntos!G19/NºAsuntos!E19),NºAsuntos!G19/NºAsuntos!E19," - ")</f>
        <v>0.88</v>
      </c>
      <c r="AM19" s="885">
        <f>IF(ISNUMBER(((NºAsuntos!I19/NºAsuntos!G19)*11)/factor_trimestre),((NºAsuntos!I19/NºAsuntos!G19)*11)/factor_trimestre," - ")</f>
        <v>4.4220779220779223</v>
      </c>
      <c r="AN19" s="885">
        <f>IF(ISNUMBER('Resol  Asuntos'!D19/NºAsuntos!G19),'Resol  Asuntos'!D19/NºAsuntos!G19," - ")</f>
        <v>0.10974025974025974</v>
      </c>
      <c r="AO19" s="886">
        <f>IF(ISNUMBER((NºAsuntos!C19+NºAsuntos!E19)/NºAsuntos!G19),(NºAsuntos!C19+NºAsuntos!E19)/NºAsuntos!G19," - ")</f>
        <v>3.2110389610389611</v>
      </c>
      <c r="AP19" s="887" t="str">
        <f t="shared" si="2"/>
        <v xml:space="preserve"> - </v>
      </c>
      <c r="AQ19" s="888">
        <f>IF(OR(ISNUMBER(FIND("01",Criterios!A8,1)),ISNUMBER(FIND("02",Criterios!A8,1)),ISNUMBER(FIND("03",Criterios!A8,1)),ISNUMBER(FIND("04",Criterios!A8,1))),(I19-W19+K19)/(F19-K19),(H19-W19+K19)/(F19-K19))</f>
        <v>-0.85232452142206017</v>
      </c>
      <c r="AR19" s="889">
        <f>IF(ISNUMBER((Datos!P19-Datos!Q19)/(Datos!R19-Datos!P19+Datos!Q19)),(Datos!P19-Datos!Q19)/(Datos!R19-Datos!P19+Datos!Q19)," - ")</f>
        <v>2.0544886109870479E-2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602.17633076477966</v>
      </c>
      <c r="G21" s="253">
        <f>IF(ISNUMBER(STDEV(G8:G18)),STDEV(G8:G18),"-")</f>
        <v>597.95844337211258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478.29018388421895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41.812278898269419</v>
      </c>
      <c r="AJ21" s="252">
        <f t="shared" si="18"/>
        <v>0</v>
      </c>
      <c r="AK21" s="254">
        <f t="shared" si="18"/>
        <v>0</v>
      </c>
      <c r="AL21" s="249">
        <f t="shared" si="18"/>
        <v>0.18818441552598875</v>
      </c>
      <c r="AM21" s="250">
        <f t="shared" si="18"/>
        <v>2.1709791476180627</v>
      </c>
      <c r="AN21" s="250">
        <f t="shared" si="18"/>
        <v>5.2528535793922269E-2</v>
      </c>
      <c r="AO21" s="251">
        <f t="shared" si="18"/>
        <v>1.0854895738090358</v>
      </c>
      <c r="AP21" s="291" t="str">
        <f t="shared" si="18"/>
        <v>-</v>
      </c>
      <c r="AQ21" s="292">
        <f t="shared" si="18"/>
        <v>0.37624248668742155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GfqnNXCXNZppSHXrKJN3qXWV51+878uI/qpUM4w7FPShQL0odZcVKcQF+G4KoLbEsV47d1fv4TUDe+0oH66AQ==" saltValue="mzzav51pyH1t0c3k9VqO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ESPLUGUES DE LLOBREGAT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-0.27027027027027029</v>
      </c>
      <c r="E10" s="348">
        <f>IF(ISNUMBER((Datos!J10-Datos!T10)/Datos!T10),(Datos!J10-Datos!T10)/Datos!T10," - ")</f>
        <v>14</v>
      </c>
      <c r="F10" s="348" t="str">
        <f>IF(ISNUMBER((Datos!K10-Datos!U10)/Datos!U10),(Datos!K10-Datos!U10)/Datos!U10," - ")</f>
        <v xml:space="preserve"> - </v>
      </c>
      <c r="G10" s="349">
        <f>IF(ISNUMBER((Datos!L10-Datos!V10)/Datos!V10),(Datos!L10-Datos!V10)/Datos!V10," - ")</f>
        <v>-0.13157894736842105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7.1428571428571425E-2</v>
      </c>
      <c r="I12" s="350">
        <f>IF(ISNUMBER((Tasas!C12-Datos!BE12)/Datos!BE12),(Tasas!C12-Datos!BE12)/Datos!BE12," - ")</f>
        <v>7.700758103096958E-2</v>
      </c>
      <c r="J12" s="349">
        <f>IF(ISNUMBER((Tasas!D12-Datos!BF12)/Datos!BF12),(Tasas!D12-Datos!BF12)/Datos!BF12," - ")</f>
        <v>-0.77396446775869743</v>
      </c>
      <c r="K12" s="351">
        <f>IF(ISNUMBER((Tasas!E12-Datos!BG12)/Datos!BG12),(Tasas!E12-Datos!BG12)/Datos!BG12," - ")</f>
        <v>5.8745269174326098E-2</v>
      </c>
      <c r="M12" t="e">
        <f>IF(Monitorios="SI",Datos!CE12,0)</f>
        <v>#REF!</v>
      </c>
      <c r="N12" t="e">
        <f>IF(Monitorios="SI",Datos!CF12,0)</f>
        <v>#REF!</v>
      </c>
      <c r="O12" t="e">
        <f>IF(Monitorios="SI",Datos!CG12,0)</f>
        <v>#REF!</v>
      </c>
      <c r="P12" t="e">
        <f>IF(Monitorios="SI",Datos!CH12,0)</f>
        <v>#REF!</v>
      </c>
      <c r="Q12">
        <f>IF(J_V="SI",0,Datos!AG12)</f>
        <v>81</v>
      </c>
      <c r="R12">
        <f>IF(J_V="SI",0,Datos!AH12)</f>
        <v>143</v>
      </c>
      <c r="S12">
        <f>IF(J_V="SI",0,Datos!AI12)</f>
        <v>148</v>
      </c>
      <c r="T12">
        <f>IF(J_V="SI",0,Datos!AJ12)</f>
        <v>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v>
      </c>
      <c r="I13" s="357">
        <f>IF(ISNUMBER((Tasas!C13-Datos!BE13)/Datos!BE13),(Tasas!C13-Datos!BE13)/Datos!BE13," - ")</f>
        <v>5.741755956410189E-2</v>
      </c>
      <c r="J13" s="355">
        <f>IF(ISNUMBER((Tasas!D13-Datos!BF13)/Datos!BF13),(Tasas!D13-Datos!BF13)/Datos!BF13," - ")</f>
        <v>-0.77133843063059548</v>
      </c>
      <c r="K13" s="358">
        <f>IF(ISNUMBER((Tasas!E13-Datos!BG13)/Datos!BG13),(Tasas!E13-Datos!BG13)/Datos!BG13," - ")</f>
        <v>4.3999565022836216E-2</v>
      </c>
      <c r="M13" t="e">
        <f>IF(Monitorios="SI",Datos!CE13,0)</f>
        <v>#REF!</v>
      </c>
      <c r="N13" t="e">
        <f>IF(Monitorios="SI",Datos!CF13,0)</f>
        <v>#REF!</v>
      </c>
      <c r="O13" t="e">
        <f>IF(Monitorios="SI",Datos!CG13,0)</f>
        <v>#REF!</v>
      </c>
      <c r="P13" t="e">
        <f>IF(Monitorios="SI",Datos!CH13,0)</f>
        <v>#REF!</v>
      </c>
      <c r="Q13">
        <f>IF(J_V="SI",0,Datos!AG13)</f>
        <v>81</v>
      </c>
      <c r="R13">
        <f>IF(J_V="SI",0,Datos!AH13)</f>
        <v>143</v>
      </c>
      <c r="S13">
        <f>IF(J_V="SI",0,Datos!AI13)</f>
        <v>148</v>
      </c>
      <c r="T13">
        <f>IF(J_V="SI",0,Datos!AJ13)</f>
        <v>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-4.1218637992831542E-2</v>
      </c>
      <c r="E16" s="348">
        <f>IF(ISNUMBER(
   IF(D_I="SI",(Datos!J16-Datos!T16)/Datos!T16,(Datos!J16+Datos!AD16-(Datos!T16+Datos!AL16))/(Datos!T16+Datos!AL16))
     ),IF(D_I="SI",(Datos!J16-Datos!T16)/Datos!T16,(Datos!J16+Datos!AD16-(Datos!T16+Datos!AL16))/(Datos!T16+Datos!AL16))," - ")</f>
        <v>0.10315533980582524</v>
      </c>
      <c r="F16" s="348">
        <f>IF(ISNUMBER(
   IF(D_I="SI",(Datos!K16-Datos!U16)/Datos!U16,(Datos!K16+Datos!AE16-(Datos!U16+Datos!AM16))/(Datos!U16+Datos!AM16))
     ),IF(D_I="SI",(Datos!K16-Datos!U16)/Datos!U16,(Datos!K16+Datos!AE16-(Datos!U16+Datos!AM16))/(Datos!U16+Datos!AM16))," - ")</f>
        <v>0.13020833333333334</v>
      </c>
      <c r="G16" s="349">
        <f>IF(ISNUMBER(
   IF(D_I="SI",(Datos!L16-Datos!V16)/Datos!V16,(Datos!L16+Datos!AF16-(Datos!V16+Datos!AN16))/(Datos!V16+Datos!AN16))
     ),IF(D_I="SI",(Datos!L16-Datos!V16)/Datos!V16,(Datos!L16+Datos!AF16-(Datos!V16+Datos!AN16))/(Datos!V16+Datos!AN16))," - ")</f>
        <v>-5.2047781569965867E-2</v>
      </c>
      <c r="H16" s="230">
        <f>IF(ISNUMBER((Datos!M16-Datos!W16)/Datos!W16),(Datos!M16-Datos!W16)/Datos!W16," - ")</f>
        <v>0.660377358490566</v>
      </c>
      <c r="I16" s="350">
        <f>IF(ISNUMBER((Tasas!C16-Datos!BE16)/Datos!BE16),(Tasas!C16-Datos!BE16)/Datos!BE16," - ")</f>
        <v>-0.16125886664255046</v>
      </c>
      <c r="J16" s="349">
        <f>IF(ISNUMBER((Tasas!D16-Datos!BF16)/Datos!BF16),(Tasas!D16-Datos!BF16)/Datos!BF16," - ")</f>
        <v>0.46908964437874967</v>
      </c>
      <c r="K16" s="351">
        <f>IF(ISNUMBER((Tasas!E16-Datos!BG16)/Datos!BG16),(Tasas!E16-Datos!BG16)/Datos!BG16," - ")</f>
        <v>-9.7420305002612881E-2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-1.1494252873563218E-2</v>
      </c>
      <c r="E17" s="348">
        <f>IF(ISNUMBER(
   IF(D_I="SI",(Datos!J17-Datos!T17)/Datos!T17,(Datos!J17+Datos!AD17-(Datos!T17+Datos!AL17))/(Datos!T17+Datos!AL17))
     ),IF(D_I="SI",(Datos!J17-Datos!T17)/Datos!T17,(Datos!J17+Datos!AD17-(Datos!T17+Datos!AL17))/(Datos!T17+Datos!AL17))," - ")</f>
        <v>0.27500000000000002</v>
      </c>
      <c r="F17" s="348">
        <f>IF(ISNUMBER(
   IF(D_I="SI",(Datos!K17-Datos!U17)/Datos!U17,(Datos!K17+Datos!AE17-(Datos!U17+Datos!AM17))/(Datos!U17+Datos!AM17))
     ),IF(D_I="SI",(Datos!K17-Datos!U17)/Datos!U17,(Datos!K17+Datos!AE17-(Datos!U17+Datos!AM17))/(Datos!U17+Datos!AM17))," - ")</f>
        <v>0.75757575757575757</v>
      </c>
      <c r="G17" s="349">
        <f>IF(ISNUMBER(
   IF(D_I="SI",(Datos!L17-Datos!V17)/Datos!V17,(Datos!L17+Datos!AF17-(Datos!V17+Datos!AN17))/(Datos!V17+Datos!AN17))
     ),IF(D_I="SI",(Datos!L17-Datos!V17)/Datos!V17,(Datos!L17+Datos!AF17-(Datos!V17+Datos!AN17))/(Datos!V17+Datos!AN17))," - ")</f>
        <v>-8.8397790055248615E-2</v>
      </c>
      <c r="H17" s="230">
        <f>IF(ISNUMBER((Datos!M17-Datos!W17)/Datos!W17),(Datos!M17-Datos!W17)/Datos!W17," - ")</f>
        <v>0.33333333333333331</v>
      </c>
      <c r="I17" s="350">
        <f>IF(ISNUMBER((Tasas!C17-Datos!BE17)/Datos!BE17),(Tasas!C17-Datos!BE17)/Datos!BE17," - ")</f>
        <v>-0.48132977710040009</v>
      </c>
      <c r="J17" s="349">
        <f>IF(ISNUMBER((Tasas!D17-Datos!BF17)/Datos!BF17),(Tasas!D17-Datos!BF17)/Datos!BF17," - ")</f>
        <v>-0.24137931034482762</v>
      </c>
      <c r="K17" s="351">
        <f>IF(ISNUMBER((Tasas!E17-Datos!BG17)/Datos!BG17),(Tasas!E17-Datos!BG17)/Datos!BG17," - ")</f>
        <v>-0.40710602642603932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-3.7209302325581395E-2</v>
      </c>
      <c r="E18" s="354">
        <f>IF(ISNUMBER(
   IF(D_I="SI",(Datos!J18-Datos!T18)/Datos!T18,(Datos!J18+Datos!AD18-(Datos!T18+Datos!AL18))/(Datos!T18+Datos!AL18))
     ),IF(D_I="SI",(Datos!J18-Datos!T18)/Datos!T18,(Datos!J18+Datos!AD18-(Datos!T18+Datos!AL18))/(Datos!T18+Datos!AL18))," - ")</f>
        <v>0.1111111111111111</v>
      </c>
      <c r="F18" s="354">
        <f>IF(ISNUMBER(
   IF(D_I="SI",(Datos!K18-Datos!U18)/Datos!U18,(Datos!K18+Datos!AE18-(Datos!U18+Datos!AM18))/(Datos!U18+Datos!AM18))
     ),IF(D_I="SI",(Datos!K18-Datos!U18)/Datos!U18,(Datos!K18+Datos!AE18-(Datos!U18+Datos!AM18))/(Datos!U18+Datos!AM18))," - ")</f>
        <v>0.1560549313358302</v>
      </c>
      <c r="G18" s="355">
        <f>IF(ISNUMBER(
   IF(D_I="SI",(Datos!L18-Datos!V18)/Datos!V18,(Datos!L18+Datos!AF18-(Datos!V18+Datos!AN18))/(Datos!V18+Datos!AN18))
     ),IF(D_I="SI",(Datos!L18-Datos!V18)/Datos!V18,(Datos!L18+Datos!AF18-(Datos!V18+Datos!AN18))/(Datos!V18+Datos!AN18))," - ")</f>
        <v>-5.6910569105691054E-2</v>
      </c>
      <c r="H18" s="356">
        <f>IF(ISNUMBER((Datos!M18-Datos!W18)/Datos!W18),(Datos!M18-Datos!W18)/Datos!W18," - ")</f>
        <v>0.6428571428571429</v>
      </c>
      <c r="I18" s="357">
        <f>IF(ISNUMBER((Tasas!C18-Datos!BE18)/Datos!BE18),(Tasas!C18-Datos!BE18)/Datos!BE18," - ")</f>
        <v>-0.18421745772533321</v>
      </c>
      <c r="J18" s="355">
        <f>IF(ISNUMBER((Tasas!D18-Datos!BF18)/Datos!BF18),(Tasas!D18-Datos!BF18)/Datos!BF18," - ")</f>
        <v>0.42108917000925633</v>
      </c>
      <c r="K18" s="358">
        <f>IF(ISNUMBER((Tasas!E18-Datos!BG18)/Datos!BG18),(Tasas!E18-Datos!BG18)/Datos!BG18," - ")</f>
        <v>-0.11571319419794607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4.3435662965382101E-2</v>
      </c>
      <c r="E19" s="363">
        <f>IF(ISNUMBER(
   IF(J_V="SI",(Datos!J19-Datos!T19)/Datos!T19,(Datos!J19+Datos!Z19-(Datos!T19+Datos!AH19))/(Datos!T19+Datos!AH19))
     ),IF(J_V="SI",(Datos!J19-Datos!T19)/Datos!T19,(Datos!J19+Datos!Z19-(Datos!T19+Datos!AH19))/(Datos!T19+Datos!AH19))," - ")</f>
        <v>3.0624263839811542E-2</v>
      </c>
      <c r="F19" s="363">
        <f>IF(ISNUMBER(
   IF(J_V="SI",(Datos!K19-Datos!U19)/Datos!U19,(Datos!K19+Datos!AA19-(Datos!U19+Datos!AI19))/(Datos!U19+Datos!AI19))
     ),IF(J_V="SI",(Datos!K19-Datos!U19)/Datos!U19,(Datos!K19+Datos!AA19-(Datos!U19+Datos!AI19))/(Datos!U19+Datos!AI19))," - ")</f>
        <v>9.2198581560283682E-2</v>
      </c>
      <c r="G19" s="364">
        <f>IF(ISNUMBER(
   IF(J_V="SI",(Datos!L19-Datos!V19)/Datos!V19,(Datos!L19+Datos!AB19-(Datos!V19+Datos!AJ19))/(Datos!V19+Datos!AJ19))
     ),IF(J_V="SI",(Datos!L19-Datos!V19)/Datos!V19,(Datos!L19+Datos!AB19-(Datos!V19+Datos!AJ19))/(Datos!V19+Datos!AJ19))," - ")</f>
        <v>1.6417910447761194E-2</v>
      </c>
      <c r="H19" s="365">
        <f>IF(ISNUMBER((Datos!M19-Datos!W19)/Datos!W19),(Datos!M19-Datos!W19)/Datos!W19," - ")</f>
        <v>0.34126984126984128</v>
      </c>
      <c r="I19" s="362">
        <f>IF(ISNUMBER((Tasas!C19-Datos!BE19)/Datos!BE19),(Tasas!C19-Datos!BE19)/Datos!BE19," - ")</f>
        <v>-6.9383601473153672E-2</v>
      </c>
      <c r="J19" s="363">
        <f>IF(ISNUMBER((Tasas!D19-Datos!BF19)/Datos!BF19),(Tasas!D19-Datos!BF19)/Datos!BF19," - ")</f>
        <v>-0.60324675324675325</v>
      </c>
      <c r="K19" s="364">
        <f>IF(ISNUMBER((Tasas!E19-Datos!BG19)/Datos!BG19),(Tasas!E19-Datos!BG19)/Datos!BG19," - ")</f>
        <v>-4.8830895994761508E-2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0.12086768585920245</v>
      </c>
      <c r="E21" s="278">
        <f t="shared" si="1"/>
        <v>6.9189089007763362</v>
      </c>
      <c r="F21" s="278">
        <f t="shared" si="1"/>
        <v>0.35498479686441997</v>
      </c>
      <c r="G21" s="279">
        <f t="shared" si="1"/>
        <v>3.6630588646622046E-2</v>
      </c>
      <c r="H21" s="285">
        <f t="shared" si="1"/>
        <v>0.28363996225664695</v>
      </c>
      <c r="I21" s="277">
        <f t="shared" si="1"/>
        <v>0.22636668969381382</v>
      </c>
      <c r="J21" s="278">
        <f t="shared" si="1"/>
        <v>0.61009537363654531</v>
      </c>
      <c r="K21" s="279">
        <f t="shared" si="1"/>
        <v>0.18737822254181924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9h39YSXw0JAERuJWE1Cx5F9FUH0KDNyjWlYiZgL7zfp+tw6NFPw7M48te+/YQb732zV5KU57kytF0hYSAxdng==" saltValue="/gxhlv91C5EZqOV0WZ/33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